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00DB9A31-9E34-F845-A503-A1E101C0C270}"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T2" i="1" l="1"/>
  <c r="BT3" i="1"/>
  <c r="BF4" i="1"/>
  <c r="BT4" i="1"/>
  <c r="BF5" i="1"/>
  <c r="BT5" i="1"/>
  <c r="BF6" i="1"/>
  <c r="BT6" i="1"/>
  <c r="BF7" i="1"/>
  <c r="BT7" i="1"/>
  <c r="BT8" i="1"/>
  <c r="BT9" i="1"/>
  <c r="BF10" i="1"/>
  <c r="BT10" i="1"/>
  <c r="BF11" i="1"/>
  <c r="BT11" i="1"/>
  <c r="BF12" i="1"/>
  <c r="BT12" i="1"/>
  <c r="BF13" i="1"/>
  <c r="BT13" i="1"/>
  <c r="BF14" i="1"/>
  <c r="BT14" i="1"/>
  <c r="BF15" i="1"/>
  <c r="BT15" i="1"/>
  <c r="BF16" i="1"/>
  <c r="BT16" i="1"/>
  <c r="BF17" i="1"/>
  <c r="BT17" i="1"/>
  <c r="BF18" i="1"/>
  <c r="BT18" i="1"/>
  <c r="BF19" i="1"/>
  <c r="BT19" i="1"/>
  <c r="BF20" i="1"/>
  <c r="BT20"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T42" i="1"/>
  <c r="BF43" i="1"/>
  <c r="BT43" i="1"/>
  <c r="BF44" i="1"/>
  <c r="BT44" i="1"/>
  <c r="BF45" i="1"/>
  <c r="BT45"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T85" i="1"/>
  <c r="BF86" i="1"/>
  <c r="BT86" i="1"/>
  <c r="BF87" i="1"/>
  <c r="BT87" i="1"/>
  <c r="BF88" i="1"/>
  <c r="BT88" i="1"/>
  <c r="BF89" i="1"/>
  <c r="BT89" i="1"/>
  <c r="BF90" i="1"/>
  <c r="BT90" i="1"/>
  <c r="BF91" i="1"/>
  <c r="BT91" i="1"/>
  <c r="BF92" i="1"/>
  <c r="BT92" i="1"/>
  <c r="BF93" i="1"/>
  <c r="BT93" i="1"/>
  <c r="BF94" i="1"/>
  <c r="BT94" i="1"/>
  <c r="BT95" i="1"/>
  <c r="BT96" i="1"/>
  <c r="BT97" i="1"/>
  <c r="BT98" i="1"/>
  <c r="BT99" i="1"/>
  <c r="BT100" i="1"/>
  <c r="BF101" i="1"/>
  <c r="BT101" i="1"/>
  <c r="BF102" i="1"/>
  <c r="BT102" i="1"/>
  <c r="BF103" i="1"/>
  <c r="BT103" i="1"/>
  <c r="BF104" i="1"/>
  <c r="BT104" i="1"/>
  <c r="BF105" i="1"/>
  <c r="BT105" i="1"/>
  <c r="BF106" i="1"/>
  <c r="BT106" i="1"/>
  <c r="BF107" i="1"/>
  <c r="BT107" i="1"/>
  <c r="BF108" i="1"/>
  <c r="BT108" i="1"/>
  <c r="BF109" i="1"/>
  <c r="BT109" i="1"/>
  <c r="BF110" i="1"/>
  <c r="BT110" i="1"/>
  <c r="BT111" i="1"/>
  <c r="BF112" i="1"/>
  <c r="BT112" i="1"/>
  <c r="BF113" i="1"/>
  <c r="BT113" i="1"/>
  <c r="BF114" i="1"/>
  <c r="BT114" i="1"/>
  <c r="BF115" i="1"/>
  <c r="BT115" i="1"/>
  <c r="BF116" i="1"/>
  <c r="BT116" i="1"/>
  <c r="BF117" i="1"/>
  <c r="BT117" i="1"/>
  <c r="BF118" i="1"/>
  <c r="BT118" i="1"/>
  <c r="BF119" i="1"/>
  <c r="BT119" i="1"/>
  <c r="BF120" i="1"/>
  <c r="BT120" i="1"/>
  <c r="BT121" i="1"/>
  <c r="BF122" i="1"/>
  <c r="BT122" i="1"/>
  <c r="BT123" i="1"/>
  <c r="BT124" i="1"/>
  <c r="BT125" i="1"/>
  <c r="BT126" i="1"/>
  <c r="BT127" i="1"/>
  <c r="BT128" i="1"/>
  <c r="BT129"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T270" i="1"/>
  <c r="BF271" i="1"/>
  <c r="BT271" i="1"/>
  <c r="BF272" i="1"/>
  <c r="BT272" i="1"/>
  <c r="BF273" i="1"/>
  <c r="BT273"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T327" i="1"/>
  <c r="BF328" i="1"/>
  <c r="BT328" i="1"/>
  <c r="BF329" i="1"/>
  <c r="BT329" i="1"/>
  <c r="BF330" i="1"/>
  <c r="BT330" i="1"/>
  <c r="BF331" i="1"/>
  <c r="BT331" i="1"/>
  <c r="BF332" i="1"/>
  <c r="BT332" i="1"/>
  <c r="BF333" i="1"/>
  <c r="BT333" i="1"/>
  <c r="BF334" i="1"/>
  <c r="BT334"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T415" i="1"/>
  <c r="BF416" i="1"/>
  <c r="BT416" i="1"/>
  <c r="BF417" i="1"/>
  <c r="BT417" i="1"/>
  <c r="BF418" i="1"/>
  <c r="BT418"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T448" i="1"/>
  <c r="BF449" i="1"/>
  <c r="BT449"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T467" i="1"/>
  <c r="BF468" i="1"/>
  <c r="BT468" i="1"/>
  <c r="BF469" i="1"/>
  <c r="BT469" i="1"/>
  <c r="BF470" i="1"/>
  <c r="BT470" i="1"/>
  <c r="BF471" i="1"/>
  <c r="BT471" i="1"/>
  <c r="BF472" i="1"/>
  <c r="BT472" i="1"/>
  <c r="BF473" i="1"/>
  <c r="BT473"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T512" i="1"/>
  <c r="BF513" i="1"/>
  <c r="BT513"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T543" i="1"/>
  <c r="BF544" i="1"/>
  <c r="BT544" i="1"/>
  <c r="BF545" i="1"/>
  <c r="BT545" i="1"/>
  <c r="BF546" i="1"/>
  <c r="BT546" i="1"/>
  <c r="BF547" i="1"/>
  <c r="BT547" i="1"/>
  <c r="BF548" i="1"/>
  <c r="BT548" i="1"/>
  <c r="BF549" i="1"/>
  <c r="BT549" i="1"/>
  <c r="BF550" i="1"/>
  <c r="BT550" i="1"/>
  <c r="BT551" i="1"/>
  <c r="BF552" i="1"/>
  <c r="BT552" i="1"/>
  <c r="BF553" i="1"/>
  <c r="BT553" i="1"/>
  <c r="BT554" i="1"/>
  <c r="BT555" i="1"/>
  <c r="BF556" i="1"/>
  <c r="BT556" i="1"/>
  <c r="BF557" i="1"/>
  <c r="BT557" i="1"/>
  <c r="BF558" i="1"/>
  <c r="BT558" i="1"/>
  <c r="BF559" i="1"/>
  <c r="BT559"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T578" i="1"/>
  <c r="BF579" i="1"/>
  <c r="BT579" i="1"/>
  <c r="BF580" i="1"/>
  <c r="BT580" i="1"/>
  <c r="BF581" i="1"/>
  <c r="BT581" i="1"/>
  <c r="BF582" i="1"/>
  <c r="BT582" i="1"/>
  <c r="BF583" i="1"/>
  <c r="BT583" i="1"/>
  <c r="BF584" i="1"/>
  <c r="BT584" i="1"/>
  <c r="BT585" i="1"/>
  <c r="BF586" i="1"/>
  <c r="BT586" i="1"/>
  <c r="BF587" i="1"/>
  <c r="BT587"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T667" i="1"/>
  <c r="BT668" i="1"/>
  <c r="BF669" i="1"/>
  <c r="BT669" i="1"/>
  <c r="BF670" i="1"/>
  <c r="BT670" i="1"/>
  <c r="BF671" i="1"/>
  <c r="BT671" i="1"/>
  <c r="BF672" i="1"/>
  <c r="BT672" i="1"/>
  <c r="BF673" i="1"/>
  <c r="BT673" i="1"/>
  <c r="BT674" i="1"/>
  <c r="BF675" i="1"/>
  <c r="BT675" i="1"/>
  <c r="BF676" i="1"/>
  <c r="BT676" i="1"/>
  <c r="BF677" i="1"/>
  <c r="BT677" i="1"/>
  <c r="BF678" i="1"/>
  <c r="BT678"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T724" i="1"/>
  <c r="BF725" i="1"/>
  <c r="BT725" i="1"/>
  <c r="BF726" i="1"/>
  <c r="BT726" i="1"/>
  <c r="BF727" i="1"/>
  <c r="BT727"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T761"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T811" i="1"/>
  <c r="BT812" i="1"/>
  <c r="BF813" i="1"/>
  <c r="BT813" i="1"/>
  <c r="BF814" i="1"/>
  <c r="BT814" i="1"/>
  <c r="BF815" i="1"/>
  <c r="BT815" i="1"/>
  <c r="BF816" i="1"/>
  <c r="BT816" i="1"/>
  <c r="BF817" i="1"/>
  <c r="BT817" i="1"/>
  <c r="BF818" i="1"/>
  <c r="BT818" i="1"/>
  <c r="BF819" i="1"/>
  <c r="BT819" i="1"/>
  <c r="BF820" i="1"/>
  <c r="BT820" i="1"/>
  <c r="BF821" i="1"/>
  <c r="BT821"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T839" i="1"/>
  <c r="BT840"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T864" i="1"/>
  <c r="BF865" i="1"/>
  <c r="BT865" i="1"/>
  <c r="BF866" i="1"/>
  <c r="BT866" i="1"/>
  <c r="BF867" i="1"/>
  <c r="BT867" i="1"/>
  <c r="BF868" i="1"/>
  <c r="BT868" i="1"/>
  <c r="BF869" i="1"/>
  <c r="BT869" i="1"/>
  <c r="BF870" i="1"/>
  <c r="BT870" i="1"/>
  <c r="BF871" i="1"/>
  <c r="BT871" i="1"/>
  <c r="BF872" i="1"/>
  <c r="BT872" i="1"/>
  <c r="BT873" i="1"/>
  <c r="BF874" i="1"/>
  <c r="BT874" i="1"/>
  <c r="BF875" i="1"/>
  <c r="BT875" i="1"/>
  <c r="BF876" i="1"/>
  <c r="BT876" i="1"/>
  <c r="BF877" i="1"/>
  <c r="BT877" i="1"/>
  <c r="BF878" i="1"/>
  <c r="BT878"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T940" i="1"/>
  <c r="BT941" i="1"/>
  <c r="BF942" i="1"/>
  <c r="BT942" i="1"/>
  <c r="BT943" i="1"/>
  <c r="BT944" i="1"/>
  <c r="BT945" i="1"/>
  <c r="BT946" i="1"/>
  <c r="BT947" i="1"/>
  <c r="BT948" i="1"/>
  <c r="BT949" i="1"/>
  <c r="BT950" i="1"/>
  <c r="BF951" i="1"/>
  <c r="BT951" i="1"/>
  <c r="BF952" i="1"/>
  <c r="BT952" i="1"/>
  <c r="BT953" i="1"/>
  <c r="BF954" i="1"/>
  <c r="BT954" i="1"/>
  <c r="BF955" i="1"/>
  <c r="BT955" i="1"/>
  <c r="BF956" i="1"/>
  <c r="BT956" i="1"/>
  <c r="BF957" i="1"/>
  <c r="BT957" i="1"/>
  <c r="BF958" i="1"/>
  <c r="BT958" i="1"/>
  <c r="BF959" i="1"/>
  <c r="BT959" i="1"/>
  <c r="BF960" i="1"/>
  <c r="BT960" i="1"/>
  <c r="BF961" i="1"/>
  <c r="BT961" i="1"/>
  <c r="BF962" i="1"/>
  <c r="BT962"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T998" i="1"/>
  <c r="BF999" i="1"/>
  <c r="BT999" i="1"/>
  <c r="BF1000" i="1"/>
  <c r="BT1000" i="1"/>
  <c r="BF1001" i="1"/>
  <c r="BT1001" i="1"/>
</calcChain>
</file>

<file path=xl/sharedStrings.xml><?xml version="1.0" encoding="utf-8"?>
<sst xmlns="http://schemas.openxmlformats.org/spreadsheetml/2006/main" count="59594" uniqueCount="15370">
  <si>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</si>
  <si>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</si>
  <si>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</si>
  <si>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</si>
  <si>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</si>
  <si>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</si>
  <si>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</si>
  <si>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</si>
  <si>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</si>
  <si>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</si>
  <si>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</si>
  <si>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</si>
  <si>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</si>
  <si>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</si>
  <si>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</si>
  <si>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</si>
  <si>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</si>
  <si>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</si>
  <si>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</si>
  <si>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</si>
  <si>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</si>
  <si>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</si>
  <si>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</si>
  <si>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</si>
  <si>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</si>
  <si>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</si>
  <si>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</si>
  <si>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</si>
  <si>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</si>
  <si>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</si>
  <si>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</si>
  <si>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</si>
  <si>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</si>
  <si>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</si>
  <si>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</si>
  <si>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</si>
  <si>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</si>
  <si>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</si>
  <si>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</si>
  <si>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</si>
  <si>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</si>
  <si>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</si>
  <si>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</si>
  <si>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</si>
  <si>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</si>
  <si>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</si>
  <si>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</si>
  <si>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</si>
  <si>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</si>
  <si>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</si>
  <si>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</si>
  <si>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</si>
  <si>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</si>
  <si>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</si>
  <si>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</si>
  <si>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</si>
  <si>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</si>
  <si>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</si>
  <si>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</si>
  <si>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</si>
  <si>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</si>
  <si>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</si>
  <si>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</si>
  <si>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</si>
  <si>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</si>
  <si>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</si>
  <si>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</si>
  <si>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</si>
  <si>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</si>
  <si>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</si>
  <si>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</si>
  <si>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</si>
  <si>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</si>
  <si>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Sierra-Almeida, A; Casanova-Katny, MA; Bravo, LA; Corcuera, LJ; Cavieres, LA</t>
  </si>
  <si>
    <t/>
  </si>
  <si>
    <t>Sierra-Almeida, Angela; Casanova-Katny, M. Angelica; Bravo, Leon A.; Corcuera, Luis J.; Cavieres, Lohengrin A.</t>
  </si>
  <si>
    <t>Photosynthetic responses to temperature and light of Antarctic and Andean populations of Colobanthus quitensis (Caryophyllaceae)</t>
  </si>
  <si>
    <t>REVISTA CHILENA DE HISTORIA NATURAL</t>
  </si>
  <si>
    <t>English</t>
  </si>
  <si>
    <t>Article</t>
  </si>
  <si>
    <t>photosynthesis; Colobanthus quitensis; optimum leaf temperature; light intensity</t>
  </si>
  <si>
    <t>COMPARATIVE PHYSIOLOGICAL ECOLOGY; ALPINE POPULATIONS; VASCULAR PLANTS; CENTRAL CHILE; RESPIRATION; RADIATION; ECOTYPES</t>
  </si>
  <si>
    <t>Colobanthus quitensis (Knuth, 1831) Bartling (Caryophyllaceae) is characterized by a wide latitudinal distribution, ranging between the tropical high Andes and the Antarctic Peninsula. Although both habitat types are characterized by cold and freezing temperatures, important microclimatic differences exist during the growing season. Hence, important differences in the response of the photosynthetic apparatus to abiotic factors could be expected between Antarctic and Andean populations of C. quitensis. We studied the relationship between net photosynthesis, leaf temperature and light intensity in two populations of C. quitensis, one from La Parva in the Andes of central Chile and the other from King George Island, in the Maritime Antarctic. Plants from both populations were grown in the laboratory at 15 degrees C under 250 mu mol photons m(-2) s(-1), with a 16/8 h light/dark photoperiod. Twenty plants (about two months old) of each population were transferred to a 4 degrees C chamber with the same light and photoperiod conditions as above to assess the photosynthetic acclimation capacity. At 15 degrees C, populations differed in their optimum leaf temperature for photosynthesis, being 24.0 degrees C in individuals from the Andes and 18.6 degrees C in individuals from the Antarctic. In contrast, Antarctic individuals showed the highest net photosynthesis rate under both temperature treatments, with the lowest light compensation and saturation points. Antarctic individuals had higher photosynthetic activity at lower temperatures compared to individuals from the Andes. Our results suggest that C. quitensis has adapted photosynthetic performance of individuals growing in different localities to the prevailing climatic conditions. Differences in photosynthetic responses to temperature and light are discussed in relation to ecotypic differentiation between two populations studied.</t>
  </si>
  <si>
    <t>Univ Concepcion, ECOBIOSIS, Concepcion, Chile; Univ Concepcion, Lab Fisiol Vegetal, Dept Bot, Concepcion, Chile; IEB, Santiago, Chile</t>
  </si>
  <si>
    <t>Universidad de Concepcion; Universidad de Concepcion</t>
  </si>
  <si>
    <t>Casanova-Katny, MA (corresponding author), Univ Concepcion, ECOBIOSIS, Concepcion, Chile.</t>
  </si>
  <si>
    <t>angecasanova@udec.cl</t>
  </si>
  <si>
    <t>Bravo, Leon/H-9251-2018; Casanova-Katny, Angelica/M-3994-2014; Bravo, León/AAO-8437-2020; Corcuera, Luis J/G-1714-2014; Cavieres, Lohengrin A./A-9542-2010; Sierra, Angela/F-8409-2014</t>
  </si>
  <si>
    <t>Bravo, Leon/0000-0003-4705-4842; Bravo, León/0000-0003-4705-4842; Cavieres, Lohengrin A./0000-0001-9122-3020; Sierra, Angela/0000-0002-4207-0950</t>
  </si>
  <si>
    <t>SOC BIOLGIA CHILE</t>
  </si>
  <si>
    <t>SANTIAGO</t>
  </si>
  <si>
    <t>CASILLA 16164, SANTIAGO 9, CHILE</t>
  </si>
  <si>
    <t>0716-078X</t>
  </si>
  <si>
    <t>0717-6317</t>
  </si>
  <si>
    <t>REV CHIL HIST NAT</t>
  </si>
  <si>
    <t>Rev. Chil. Hist. Nat.</t>
  </si>
  <si>
    <t>SEP</t>
  </si>
  <si>
    <t>Biodiversity Conservation; Ecology</t>
  </si>
  <si>
    <t>Science Citation Index Expanded (SCI-EXPANDED)</t>
  </si>
  <si>
    <t>Biodiversity &amp; Conservation; Environmental Sciences &amp; Ecology</t>
  </si>
  <si>
    <t>211DY</t>
  </si>
  <si>
    <t>2024-04-21</t>
  </si>
  <si>
    <t>WOS:000249505700007</t>
  </si>
  <si>
    <t>Rivero, S; Chico, B; De la Fuente, D; Morcillo, M</t>
  </si>
  <si>
    <t>Rivero, S.; Chico, B.; De la Fuente, D.; Morcillo, M.</t>
  </si>
  <si>
    <t>Atmospheric corrosion of low carbon steel in a polar marine environment. Study of the effect of wind regime</t>
  </si>
  <si>
    <t>REVISTA DE METALURGIA</t>
  </si>
  <si>
    <t>Spanish</t>
  </si>
  <si>
    <t>atmospheric corrosion; low-carbon steel; salinity; wind; Antarctica</t>
  </si>
  <si>
    <t>HOLISTIC MODEL; SEA-SALT; AEROSOLS; SPRAY</t>
  </si>
  <si>
    <t>The present work studies the atmospheric corrosion of carbon steel (UNE-EN 10130) in a sub-polar marine environment (Artigas Antarctic Scientific Base (BCAA), Uruguay) as a function of site atmospheric salinity and exposure time. A linear relationship is established between corrosion rate and airborne salinity deposition rate, valid in the deposition range encountered (125-225 mg Cl-/m(2).d), and a bilogarithmic relationship is established between corrosion and exposure time (1-4 years). Atmospheric salinity is related with the monthly wind speed average, based on the concept of the wind run. Chloride ion deposition rates of less than 300 mg Cl-/m(2).d are related with remote (oceanic) winds and coastal winds basically of speeds between 1-40 km/h, while higher deposition rates (300-700 mg Cl-/m(2).d) correspond to coastal marine winds of a certain persistence with speeds of between 41-80 km/h.</t>
  </si>
  <si>
    <t>[Rivero, S.] Univ Republica, SeCorr, Fac Ingn, Montevideo, Uruguay; [Chico, B.; De la Fuente, D.; Morcillo, M.] CSIC, CENIM, Dept Ingn Mat Degradac &amp; Durabilidad, E-28040 Madrid, Spain</t>
  </si>
  <si>
    <t>Universidad de la Republica, Uruguay; Consejo Superior de Investigaciones Cientificas (CSIC); Centro Nacional de Investigaciones Metalurgicas (CENIM)</t>
  </si>
  <si>
    <t>Rivero, S (corresponding author), Univ Republica, SeCorr, Fac Ingn, Julio Herrera &amp; Reissig 565,2Do Piso,CP 11300, Montevideo, Uruguay.</t>
  </si>
  <si>
    <t>Chico, Belen/0000-0001-8697-6298; Morcillo Linares, Manuel/0000-0002-7355-0092</t>
  </si>
  <si>
    <t>CONSEJO SUPERIOR INVESTIGACIONES CIENTIFICAS-CSIC</t>
  </si>
  <si>
    <t>MADRID</t>
  </si>
  <si>
    <t>VITRUVIO 8, 28006 MADRID, SPAIN</t>
  </si>
  <si>
    <t>0034-8570</t>
  </si>
  <si>
    <t>1988-4222</t>
  </si>
  <si>
    <t>REV METAL MADRID</t>
  </si>
  <si>
    <t>Rev. Metal.</t>
  </si>
  <si>
    <t>SEP-OCT</t>
  </si>
  <si>
    <t>Metallurgy &amp; Metallurgical Engineering</t>
  </si>
  <si>
    <t>245GC</t>
  </si>
  <si>
    <t>gold, Green Submitted</t>
  </si>
  <si>
    <t>WOS:000251922100005</t>
  </si>
  <si>
    <t>Jenkins, A; Holland, D</t>
  </si>
  <si>
    <t>Jenkins, Adrian; Holland, David</t>
  </si>
  <si>
    <t>Melting of floating ice and sea level rise</t>
  </si>
  <si>
    <t>GEOPHYSICAL RESEARCH LETTERS</t>
  </si>
  <si>
    <t>OCEAN; MODEL; SHELF</t>
  </si>
  <si>
    <t>[1] Contrary to popular belief, the melting of floating ice (in the form of ice shelves, icebergs and sea ice) may have a non-zero impact on sea level. This is because the melting process cools and dilutes the oceans on average, and unless these opposing effects exactly balance each other there will be a net change in the ocean density. We discuss how these subtle effects can be quantified and put bounds on the potential sea level rise associated with melting of the ice masses that are currently afloat in the world's oceans.</t>
  </si>
  <si>
    <t>British Antarctic Survey, NERC, Cambridge CB3 0ET, England; NYU, Courant Inst Math Sci, New York, NY 10012 USA</t>
  </si>
  <si>
    <t>UK Research &amp; Innovation (UKRI); Natural Environment Research Council (NERC); NERC British Antarctic Survey; New York University</t>
  </si>
  <si>
    <t>Jenkins, A (corresponding author), British Antarctic Survey, NERC, Madingley Rd, Cambridge CB3 0ET, England.</t>
  </si>
  <si>
    <t>ajen@bas.ac.uk</t>
  </si>
  <si>
    <t>Jenkins, Adrian/IUN-2406-2023</t>
  </si>
  <si>
    <t>Jenkins, Adrian/0000-0002-9117-0616</t>
  </si>
  <si>
    <t>NERC [bas010014] Funding Source: UKRI; Natural Environment Research Council [bas010014] Funding Source: researchfish</t>
  </si>
  <si>
    <t>NERC(UK Research &amp; Innovation (UKRI)Natural Environment Research Council (NERC)); Natural Environment Research Council(UK Research &amp; Innovation (UKRI)Natural Environment Research Council (NERC))</t>
  </si>
  <si>
    <t>AMER GEOPHYSICAL UNION</t>
  </si>
  <si>
    <t>WASHINGTON</t>
  </si>
  <si>
    <t>2000 FLORIDA AVE NW, WASHINGTON, DC 20009 USA</t>
  </si>
  <si>
    <t>0094-8276</t>
  </si>
  <si>
    <t>1944-8007</t>
  </si>
  <si>
    <t>GEOPHYS RES LETT</t>
  </si>
  <si>
    <t>Geophys. Res. Lett.</t>
  </si>
  <si>
    <t>AUG 31</t>
  </si>
  <si>
    <t>L16609</t>
  </si>
  <si>
    <t>10.1029/2007GL030784</t>
  </si>
  <si>
    <t>Geosciences, Multidisciplinary</t>
  </si>
  <si>
    <t>Geology</t>
  </si>
  <si>
    <t>208QQ</t>
  </si>
  <si>
    <t>Bronze</t>
  </si>
  <si>
    <t>WOS:000249334700005</t>
  </si>
  <si>
    <t>Meredith, NP; Horne, RB; Glauert, SA; Anderson, RR</t>
  </si>
  <si>
    <t>Meredith, Nigel P.; Horne, Richard B.; Glauert, Sarah A.; Anderson, Roger R.</t>
  </si>
  <si>
    <t>Slot region electron loss timescales due to plasmaspheric hiss and lightning-generated whistlers</t>
  </si>
  <si>
    <t>JOURNAL OF GEOPHYSICAL RESEARCH-SPACE PHYSICS</t>
  </si>
  <si>
    <t>RADIATION BELT ELECTRONS; MAGNETOSPHERICALLY REFLECTED WHISTLERS; EARTHS INNER MAGNETOSPHERE; OBSERVED ONBOARD GEOS-1; PITCH-ANGLE DIFFUSION; OUTER MAGNETOSPHERE; PROPAGATION CHARACTERISTICS; SUBSTORM DEPENDENCE; SCATTERING LOSS; MAGNETIC STORM</t>
  </si>
  <si>
    <t>Energetic electrons ( E &gt; 100 keV) in the Earth's radiation belts undergo Dopplershifted cyclotron resonant interactions with a variety of whistler mode waves leading to pitch angle scattering and subsequent loss to the atmosphere. In this study we assess the relative importance of plasmaspheric hiss and lightning-generated whistlers in the slot region and beyond. Electron loss timescales are determined using the Pitch Angle and energy Diffusion of Ions and Electrons (PADIE) code with global models of the spectral distributions of the wave power based on CRRES observations. Our results show that plasmaspheric hiss propagating at small and intermediate wave normal angles is a significant scattering agent in the slot region and beyond. In contrast, plasmaspheric hiss propagating at large wave normal angles and lightning-generated whistlers do not contribute significantly to radiation belt loss. The loss timescale of 2 MeV electrons due to plasmaspheric hiss propagating at small and intermediate wave normal angles in the center of the slot region ( L = 2.5) lies in the range 1-10 days, consistent with recent Solar Anomalous and Magnetospheric Particle Explorer ( SAMPEX) observations. Wave turbulence in space, which is responsible for the generation plasmaspheric hiss, thus leads to the formation of the slot region. During active periods, losses due to plasmaspheric hiss may occur on a timescale of 1 day or less for a wide range of energies, 200 keV &lt; E &lt; 1 MeV, in the region 3.5 &lt; L &lt; 4.0. Plasmaspheric hiss may thus also be a significant loss process in the inner region of the outer radiation belt during magnetically disturbed periods.</t>
  </si>
  <si>
    <t>British Antarctic Survey, Natl Environm Res Council, Cambridge CB3 0ET, England; Univ Iowa, Dept Phys &amp; Astron, Iowa City, IA 52242 USA</t>
  </si>
  <si>
    <t>UK Research &amp; Innovation (UKRI); Natural Environment Research Council (NERC); NERC British Antarctic Survey; University of Iowa</t>
  </si>
  <si>
    <t>Meredith, NP (corresponding author), British Antarctic Survey, Natl Environm Res Council, Madingley Rd, Cambridge CB3 0ET, England.</t>
  </si>
  <si>
    <t>Meredith, Nigel P/C-5806-2018; Horne, Richard B/U-3764-2019</t>
  </si>
  <si>
    <t>Horne, Richard B/0000-0002-0412-6407; Meredith, Nigel/0000-0001-5032-3463</t>
  </si>
  <si>
    <t>NERC [bas010022] Funding Source: UKRI; Natural Environment Research Council [bas010022] Funding Source: researchfish</t>
  </si>
  <si>
    <t>2169-9380</t>
  </si>
  <si>
    <t>2169-9402</t>
  </si>
  <si>
    <t>J GEOPHYS RES-SPACE</t>
  </si>
  <si>
    <t>J. Geophys. Res-Space Phys.</t>
  </si>
  <si>
    <t>A8</t>
  </si>
  <si>
    <t>A08214</t>
  </si>
  <si>
    <t>10.1029/2007JA012413</t>
  </si>
  <si>
    <t>Astronomy &amp; Astrophysics</t>
  </si>
  <si>
    <t>208SI</t>
  </si>
  <si>
    <t>Bronze, Green Accepted</t>
  </si>
  <si>
    <t>WOS:000249339100003</t>
  </si>
  <si>
    <t>Beucher, CP; Brzezinski, MA; Crosta, X</t>
  </si>
  <si>
    <t>Beucher, Charlotte P.; Brzezinski, Mark A.; Crosta, Xavier</t>
  </si>
  <si>
    <t>Silicic acid dynamics in the glacial sub-Antarctic: Implications for the silicic acid leakage hypothesis</t>
  </si>
  <si>
    <t>GLOBAL BIOGEOCHEMICAL CYCLES</t>
  </si>
  <si>
    <t>SOUTHERN-OCEAN; INDIAN-OCEAN; BIOLOGICAL PRODUCTIVITY; NUTRIENT UTILIZATION; ATMOSPHERIC CO2; BIOGENIC SILICA; MARINE DIATOMS; PACIFIC SECTOR; CARBON; IRON</t>
  </si>
  <si>
    <t>The silicic acid leakage hypothesis (SALH) purports that changes in silicon and nitrogen depletion ratios in the glacial Antarctic created a large pool of unused silicic acid that was transported to lower latitudes in subantarctic mode water (SAMW) where it enhanced diatom productivity lowering atmospheric pCO(2). However, increased opal accumulation beneath the sub-Antarctic during glacial times implies significant consumption of silicic acid in subantarctic surface waters that may have significantly diminished or eliminated Si leakage. To test how nutrient dynamics in the sub-Antarctic affected the Si( OH) 4 content of SAMW during the last glacial period, we produced delta(30) Si opal records for cores from the subantarctic and subtropical zones of the Indian Ocean spanning the last 50,000 years. Comparison with diatom-bound delta N-15 records shows that subantarctic surface waters were enriched in Si relative to N during the last glaciation consistent with the SALH. The record from the subtropics does not show this enrichment in Si during the last glacial period suggesting that subantarctic surface waters were mainly incorporated into SAMW rather than being transported across the Subtropical Front. Isotope mass balance calculations were used to test for Si leakage from the sub-Antarctic. The results show that silicic acid concentration in SAMW would more than double during the last glaciation if upwelling and northward Ekman drift in the Antarctic were similar to the present-day circulation. Calculations that assume increased stratification in the glacial Antarctic eliminate Si leakage, but they do not produce the known increase in opal burial in the glacial sub-Antarctic. Reconciling the isotope data and opal burial records with a highly stratified Antarctic requires the addition of a large local source of silicic acid in the glacial sub-Antarctic that is inconsistent with present-day circulation and nutrient distributions. Including such a source in our calculations results in significant opal burial in the sub-Antarctic, but it does not enhance Si leakage over that occurring in the Holocene. Resolving past changes in the circulation of the Southern Ocean is clearly vital to future tests of the SALH.</t>
  </si>
  <si>
    <t>Univ Calif Santa Barbara, Inst Marine Sci, Santa Barbara, CA 93106 USA; Univ Calif Santa Barbara, Dept Ecol Evolut &amp; Marine Biol, Santa Barbara, CA 93106 USA; Univ Bordeaux 1, EPOC, CNRS, UMR 5805, F-33405 Talence, France</t>
  </si>
  <si>
    <t>University of California System; University of California Santa Barbara; University of California System; University of California Santa Barbara; Universite de Bordeaux; Centre National de la Recherche Scientifique (CNRS); CNRS - National Institute for Earth Sciences &amp; Astronomy (INSU)</t>
  </si>
  <si>
    <t>Beucher, CP (corresponding author), Univ Calif Santa Barbara, Inst Marine Sci, Santa Barbara, CA 93106 USA.</t>
  </si>
  <si>
    <t>beucher@lifesci.ucsb.edu; brzezins@lifesci.ucsb.edu; x.crosta@epoc.u-bordeauxl.fr</t>
  </si>
  <si>
    <t>0886-6236</t>
  </si>
  <si>
    <t>GLOBAL BIOGEOCHEM CY</t>
  </si>
  <si>
    <t>Glob. Biogeochem. Cycle</t>
  </si>
  <si>
    <t>AUG 29</t>
  </si>
  <si>
    <t>GB3015</t>
  </si>
  <si>
    <t>10.1029/2006GB002746</t>
  </si>
  <si>
    <t>Environmental Sciences; Geosciences, Multidisciplinary; Meteorology &amp; Atmospheric Sciences</t>
  </si>
  <si>
    <t>Environmental Sciences &amp; Ecology; Geology; Meteorology &amp; Atmospheric Sciences</t>
  </si>
  <si>
    <t>208QT</t>
  </si>
  <si>
    <t>Green Published</t>
  </si>
  <si>
    <t>WOS:000249335000001</t>
  </si>
  <si>
    <t>Flocco, D; Feltham, DL</t>
  </si>
  <si>
    <t>Flocco, Daniela; Feltham, Daniel L.</t>
  </si>
  <si>
    <t>A continuum model of melt pond evolution on Arctic sea ice</t>
  </si>
  <si>
    <t>JOURNAL OF GEOPHYSICAL RESEARCH-OCEANS</t>
  </si>
  <si>
    <t>THICKNESS DISTRIBUTION; SUMMER; ALBEDO</t>
  </si>
  <si>
    <t>[1] During the Northern Hemisphere summer, absorbed solar radiation melts snow and the upper surface of Arctic sea ice to generate meltwater that accumulates in ponds. The melt ponds reduce the albedo of the sea ice cover during the melting season, with a significant impact on the heat and mass budget of the sea ice and the upper ocean. We have developed a model, designed to be suitable for inclusion into a global circulation model (GCM), which simulates the formation and evolution of the melt pond cover. In order to be compatible with existing GCM sea ice models, our melt pond model builds upon the existing theory of the evolution of the sea ice thickness distribution. Since this theory does not describe the topography of the ice cover, which is crucial to determining the location, extent, and depth of individual ponds, we have needed to introduce some assumptions. We describe our model, present calculations and a sensitivity analysis, and discuss our results.</t>
  </si>
  <si>
    <t>UCL, Dept Earth Sci, Ctr Polar Observat &amp; Modelling, London WC1E 6BT, England; British Antarctic Survey, Cambridge CB3 0ET, England</t>
  </si>
  <si>
    <t>University of London; University College London; UK Research &amp; Innovation (UKRI); Natural Environment Research Council (NERC); NERC British Antarctic Survey</t>
  </si>
  <si>
    <t>Flocco, D (corresponding author), UCL, Dept Earth Sci, Ctr Polar Observat &amp; Modelling, London WC1E 6BT, England.</t>
  </si>
  <si>
    <t>dfl@cpom.ucl.ac.uk</t>
  </si>
  <si>
    <t>Flocco, Daniela/ISA-8644-2023</t>
  </si>
  <si>
    <t>Flocco, Daniela/0000-0002-0025-5359; Feltham, Daniel/0000-0003-2289-014X</t>
  </si>
  <si>
    <t>NERC [cpom10001, bas010013] Funding Source: UKRI; Natural Environment Research Council [cpom10001, bas010013] Funding Source: researchfish</t>
  </si>
  <si>
    <t>2169-9275</t>
  </si>
  <si>
    <t>2169-9291</t>
  </si>
  <si>
    <t>J GEOPHYS RES-OCEANS</t>
  </si>
  <si>
    <t>J. Geophys. Res.-Oceans</t>
  </si>
  <si>
    <t>AUG 28</t>
  </si>
  <si>
    <t>C8</t>
  </si>
  <si>
    <t>C08016</t>
  </si>
  <si>
    <t>10.1029/2006JC003836</t>
  </si>
  <si>
    <t>Oceanography</t>
  </si>
  <si>
    <t>208RQ</t>
  </si>
  <si>
    <t>Green Accepted</t>
  </si>
  <si>
    <t>WOS:000249337300001</t>
  </si>
  <si>
    <t>Khare, N</t>
  </si>
  <si>
    <t>Khare, N.</t>
  </si>
  <si>
    <t>The international polar year (2007-09): An impetus to polar research</t>
  </si>
  <si>
    <t>CURRENT SCIENCE</t>
  </si>
  <si>
    <t>News Item</t>
  </si>
  <si>
    <t>Minist Earth &amp; Sci, Natl Ctr Antarctic &amp; Ocean Res, Vasco Da Gama 403804, Goa, India</t>
  </si>
  <si>
    <t>Ministry of Earth Sciences (MoES) - India; National Centre for Polar and Ocean Research (NCPOR)</t>
  </si>
  <si>
    <t>Khare, N (corresponding author), Minist Earth &amp; Sci, Natl Ctr Antarctic &amp; Ocean Res, Vasco Da Gama 403804, Goa, India.</t>
  </si>
  <si>
    <t>nkhare@ncaor.org</t>
  </si>
  <si>
    <t>CURRENT SCIENCE ASSOC</t>
  </si>
  <si>
    <t>BANGALORE</t>
  </si>
  <si>
    <t>C V RAMAN AVENUE, PO BOX 8005, BANGALORE 560 080, INDIA</t>
  </si>
  <si>
    <t>0011-3891</t>
  </si>
  <si>
    <t>CURR SCI INDIA</t>
  </si>
  <si>
    <t>Curr. Sci.</t>
  </si>
  <si>
    <t>AUG 25</t>
  </si>
  <si>
    <t>Multidisciplinary Sciences</t>
  </si>
  <si>
    <t>Science &amp; Technology - Other Topics</t>
  </si>
  <si>
    <t>207BR</t>
  </si>
  <si>
    <t>WOS:000249227100011</t>
  </si>
  <si>
    <t>Tiwari, M; Ramesh, R</t>
  </si>
  <si>
    <t>Tiwari, Manish; Ramesh, Rengaswamy</t>
  </si>
  <si>
    <t>Solar variability in the past and palaeoclimate data pertaining to the southwest monsoon</t>
  </si>
  <si>
    <t>Review</t>
  </si>
  <si>
    <t>insolation; palaeoclimate; solar variability; southwest monsoon; total solar irradiation</t>
  </si>
  <si>
    <t>INDIAN MONSOON; CLIMATE-CHANGE; ASIAN MONSOON; PLANKTONIC-FORAMINIFERA; IRRADIANCE VARIATIONS; ISOTOPIC COMPOSITION; ATMOSPHERIC C-14; TIME-SERIES; ARABIAN SEA; RECORD</t>
  </si>
  <si>
    <t>A significant part of the earth's climate variability is caused by changes in the solar emission. Instrumental observation of the sun gives us some idea about decadal variability in the solar radiation. On longer timescales, we look to palaeoclimate proxies to learn about solar variability. In this review we discuss various palaeo-records and what we have learnt from them. In addition, we outline important questions that need to be addressed.</t>
  </si>
  <si>
    <t>Tiwari, M (corresponding author), Natl Ctr Antarctic &amp; Ocean Res, Vasco Da Gama 403804, India.</t>
  </si>
  <si>
    <t>manish@ncaor.org</t>
  </si>
  <si>
    <t>lionel, Scotto/K-8141-2012</t>
  </si>
  <si>
    <t>Tiwari, Manish/0000-0003-3143-1658</t>
  </si>
  <si>
    <t>INDIAN ACAD SCIENCES</t>
  </si>
  <si>
    <t>C V RAMAN AVENUE, SADASHIVANAGAR, P B #8005, BANGALORE 560 080, INDIA</t>
  </si>
  <si>
    <t>WOS:000249227100021</t>
  </si>
  <si>
    <t>Casper, RM; Jarrnan, SN; Deagle, BE; Gales, NJ; Hindell, MA</t>
  </si>
  <si>
    <t>Casper, Ruth M.; Jarrnan, Simon N.; Deagle, Bruce E.; Gales, Nicholas J.; Hindell, Mark A.</t>
  </si>
  <si>
    <t>Detecting prey from DNA in predator scats:: A comparison with morphological analysis, using Arctocephalus seals fed a known diet</t>
  </si>
  <si>
    <t>JOURNAL OF EXPERIMENTAL MARINE BIOLOGY AND ECOLOGY</t>
  </si>
  <si>
    <t>generalist; marine mammal; otolith; predator; Southern Ocean</t>
  </si>
  <si>
    <t>ANTARCTIC FUR SEALS; PHOCA-VITULINA-RICHARDSI; FATTY-ACID; FORAGING ECOLOGY; FECAL SAMPLES; NEW-ZEALAND; TEMPORAL VARIATION; STABLE-ISOTOPE; SALMONID PREY; HARBOR SEALS</t>
  </si>
  <si>
    <t>The diet of free-living pinnipeds is most frequently estimated through identification of otoliths, squid mouth-parts and exoskeletons of prey in scats. This is because, although important prey types may not always be detected, sample collection is non-invasive and analysis is easy. Identification of prey DNA in scats is a nascent approach to determining the diet of marine vertebrates that may overcome some of the limitations of hard part analysis. This is the first study to experimentally compare the utility of genetic scatology for identifying consumption of prey types by seals with the occurrence of morphological remains of prey in scats. The occurrences of DNA and hard part remains of one squid and two fish taxa in scats of captive Arctocephalus seals fed mixed prey diets were compared. Both methods detected ingestion of these taxa 7.5-39.5 It prior to defaecation. Although all test prey had robust hard parts, detecting consumption during this period was 1.4 to 5.8 times more likely using genetic analysis than morphological analysis of scats. Based on frequency of occurrence calculations, neither method provided quantitative descriptions of the known diet. Identification of prey using DNA was not compromised by complexity of the diet; each test taxon was unambiguously detected against a background of a multi-species diet. Our results suggest that where diagnostic hard remains of prey are not well represented in scats, or the sample size is small, genetic scatology provides a valuable addition to morphological scat analysis for identifying the recent diet of free-living seals. (c) 2007 Elsevier B.V. All rights reserved.</t>
  </si>
  <si>
    <t>Australian Antarctic Div, So Ocean Ecosyst, Kingston, Tas 7050, Australia; Univ Tasmania, Sch Zool, Antarctic Wildlife Res Unit, Hobart, Tas 7001, Australia</t>
  </si>
  <si>
    <t>Australian Antarctic Division; University of Tasmania</t>
  </si>
  <si>
    <t>Casper, RM (corresponding author), Australian Antarctic Div, So Ocean Ecosyst, 203 Channel Highway, Kingston, Tas 7050, Australia.</t>
  </si>
  <si>
    <t>Ruth.Casper@aad.gov.au</t>
  </si>
  <si>
    <t>Deagle, Bruce E/A-9854-2008; Hindell, Mark A/C-8368-2013; Hindell, Mark A/K-1131-2013; Deagle, Bruce E/R-2999-2019; Jarman, Simon/H-9265-2016</t>
  </si>
  <si>
    <t>Deagle, Bruce E/0000-0001-7651-3687; Hindell, Mark/0000-0002-7823-7185; Jarman, Simon/0000-0002-0792-9686</t>
  </si>
  <si>
    <t>ELSEVIER</t>
  </si>
  <si>
    <t>AMSTERDAM</t>
  </si>
  <si>
    <t>RADARWEG 29, 1043 NX AMSTERDAM, NETHERLANDS</t>
  </si>
  <si>
    <t>0022-0981</t>
  </si>
  <si>
    <t>1879-1697</t>
  </si>
  <si>
    <t>J EXP MAR BIOL ECOL</t>
  </si>
  <si>
    <t>J. Exp. Mar. Biol. Ecol.</t>
  </si>
  <si>
    <t>AUG 24</t>
  </si>
  <si>
    <t>1-2</t>
  </si>
  <si>
    <t>10.1016/j.jembe.2007.04.002</t>
  </si>
  <si>
    <t>Ecology; Marine &amp; Freshwater Biology</t>
  </si>
  <si>
    <t>Environmental Sciences &amp; Ecology; Marine &amp; Freshwater Biology</t>
  </si>
  <si>
    <t>184TX</t>
  </si>
  <si>
    <t>WOS:000247666600013</t>
  </si>
  <si>
    <t>DeConto, R; Pollard, D; Harwood, D</t>
  </si>
  <si>
    <t>DeConto, Robert; Pollard, David; Harwood, David</t>
  </si>
  <si>
    <t>Sea ice feedback and Cenozoic evolution of Antarctic climate and ice sheets</t>
  </si>
  <si>
    <t>PALEOCEANOGRAPHY</t>
  </si>
  <si>
    <t>ATMOSPHERIC CARBON-DIOXIDE; SOUTHERN-OCEAN; SIRIUS GROUP; TRANSANTARCTIC MOUNTAINS; SURFACE TEMPERATURE; MODEL SENSITIVITY; CO2; VARIABILITY; CIRCULATION; GLACIATION</t>
  </si>
  <si>
    <t>The extent and thickness of Antarctic sea ice have important climatic effects on radiation balance, energy transfer between the atmosphere and ocean, and moisture availability. This paper explores the role of sea ice and related feedbacks in the Cenozoic evolution of Antarctic climate and ice sheets, using a numerical climate model with explicit, dynamical representations of sea ice and continental ice sheets. In a scenario of decreasing Cenozoic greenhouse gas concentrations, our model initiates continental glaciation before any significant sea ice forms around the continent. Once variable ice sheets are established, seasonal sea ice distribution is highly sensitive to orbital forcing and ice sheet geometry via the ice sheet's control on regional temperature and low-level winds. Although the expansion of sea ice has significant climatic effects near the coast, it has only minimal effects in the continental interior and on the size of the ice sheet. Therefore the Cenozoic appearance of Antarctic sea ice was primarily a response to the growth of grounded ice sheets and was not a critical factor in episodes of Paleogene and Neogene glaciation. The influence of the East Antarctic Ice Sheet on sea ice, Southern Ocean surface temperatures, and winds has important implications for ocean circulation, the marine carbon cycle, and the development of the West Antarctic Ice Sheet. The sensitivity of sea ice to grounded ice sheets implies reconstructions of sea ice based on marine diatoms are good indicators of glacial conditions in the continental interior and may provide insight into the long-term stability of Antarctic Ice Sheets.</t>
  </si>
  <si>
    <t>Univ Massachusetts, Dept Geosci, Amherst, MA 01003 USA; Penn State Univ, Earth &amp; Environm Syst Inst, University Pk, PA 16802 USA; Univ Nebraska, Dept Geosci, Lincoln, NE 68588 USA</t>
  </si>
  <si>
    <t>University of Massachusetts System; University of Massachusetts Amherst; Pennsylvania Commonwealth System of Higher Education (PCSHE); Pennsylvania State University; Pennsylvania State University - University Park; University of Nebraska System; University of Nebraska Lincoln</t>
  </si>
  <si>
    <t>DeConto, R (corresponding author), Univ Massachusetts, Dept Geosci, Amherst, MA 01003 USA.</t>
  </si>
  <si>
    <t>deconto@geo.umass.edu</t>
  </si>
  <si>
    <t>0883-8305</t>
  </si>
  <si>
    <t>1944-9186</t>
  </si>
  <si>
    <t>Paleoceanography</t>
  </si>
  <si>
    <t>PA3214</t>
  </si>
  <si>
    <t>10.1029/2006PA001350</t>
  </si>
  <si>
    <t>Geosciences, Multidisciplinary; Oceanography; Paleontology</t>
  </si>
  <si>
    <t>Geology; Oceanography; Paleontology</t>
  </si>
  <si>
    <t>204HV</t>
  </si>
  <si>
    <t>Green Published, Bronze</t>
  </si>
  <si>
    <t>WOS:000249035500002</t>
  </si>
  <si>
    <t>Cassar, N; Bender, ML; Barnett, BA; Fan, S; Moxim, WJ; Levy, H; Tilbrook, B</t>
  </si>
  <si>
    <t>Cassar, Nicolas; Bender, Michael L.; Barnett, Bruce A.; Fan, Songmiao; Moxim, Walter J.; Levy, Hiram, II; Tilbrook, Bronte</t>
  </si>
  <si>
    <t>The Southern Ocean biological response to Aeolian iron deposition</t>
  </si>
  <si>
    <t>SCIENCE</t>
  </si>
  <si>
    <t>NATURAL ORGANIC-LIGANDS; PACIFIC SECTOR; MARINE-PHYTOPLANKTON; DISSOLVED FE; WATERS; LIMITATION; BLOOMS; COMPLEXATION; PRODUCTIVITY; ENRICHMENT</t>
  </si>
  <si>
    <t>Biogeochemical rate processes in the Southern Ocean have an important impact on the global environment. Here, we summarize an extensive set of published and new data that establishes the pattern of gross primary production and net community production over large areas of the Southern Ocean. We compare these rates with model estimates of dissolved iron that is added to surface waters by aerosols. This comparison shows that net community production, which is comparable to export production, is proportional to modeled input of soluble iron in aerosols. Our results strengthen the evidence that the addition of aerosol iron fertilizes export production in the Southern Ocean. The data also show that aerosol iron input particularly enhances gross primary production over the large area of the Southern Ocean downwind of dry continental areas.</t>
  </si>
  <si>
    <t>Princeton Univ, Dept Geosci, Princeton, NJ 08544 USA; NOAA, Geophys Fluid Dynam Lab, Princeton, NJ 08542 USA; CSIRO, Marine &amp; Atmospher Res &amp; Antarctic Climate, Hobart, Tas 7001, Australia; CSIRO, Ecosyst Cooperat Res Ctr, Hobart, Tas 7001, Australia</t>
  </si>
  <si>
    <t>Princeton University; National Oceanic Atmospheric Admin (NOAA) - USA; Commonwealth Scientific &amp; Industrial Research Organisation (CSIRO); Commonwealth Scientific &amp; Industrial Research Organisation (CSIRO)</t>
  </si>
  <si>
    <t>Cassar, N (corresponding author), Princeton Univ, Dept Geosci, Princeton, NJ 08544 USA.</t>
  </si>
  <si>
    <t>ncassar@princeton.edu</t>
  </si>
  <si>
    <t>Fan, Song-Miao/A-8004-2008; Tilbrook, Bronte/W-4007-2019; Cassar, Nicolas/B-4260-2011</t>
  </si>
  <si>
    <t>Fan, Song-Miao/0000-0001-8352-8035; Tilbrook, Bronte/0000-0001-9385-3827; Cassar, Nicolas/0000-0003-0100-3783</t>
  </si>
  <si>
    <t>AMER ASSOC ADVANCEMENT SCIENCE</t>
  </si>
  <si>
    <t>1200 NEW YORK AVE, NW, WASHINGTON, DC 20005 USA</t>
  </si>
  <si>
    <t>0036-8075</t>
  </si>
  <si>
    <t>Science</t>
  </si>
  <si>
    <t>10.1126/science.1144602</t>
  </si>
  <si>
    <t>203AE</t>
  </si>
  <si>
    <t>WOS:000248946700040</t>
  </si>
  <si>
    <t>Hickson, KM; Keyser, LF; Sander, SP</t>
  </si>
  <si>
    <t>Hickson, Kevin M.; Keyser, Leon F.; Sander, Stanley P.</t>
  </si>
  <si>
    <t>Temperature dependence of the HO2+ClO reaction.: 2.: Reaction kinetics using the discharge-flow resonance-fluorescence technique</t>
  </si>
  <si>
    <t>JOURNAL OF PHYSICAL CHEMISTRY A</t>
  </si>
  <si>
    <t>RATE-CONSTANT; AB-INITIO; RELATIVE STABILITIES; VIBRATIONAL-SPECTRA; PRODUCT FORMATION; ANTARCTIC OZONE; HO2 RADICALS; FIRN AIR; 300 K; CLO</t>
  </si>
  <si>
    <t>The total rate coefficient, k(3), for the reaction HO2 + ClO -&gt; products has been determined over the temperature range of 220-336 K at a total pressure of approximately 1.5 Torr of helium using the discharge-flow resonance-fluorescence technique. Pseudo-first-order conditions were used with both ClO and HO2 as excess reagents using four different combinations of precursor molecules. HO2 molecules were formed by using either the termolecular association of H atoms in an excess of O-2 or via the reaction of F atoms with an excess of H2O2. ClO molecules were formed by using the reaction of Cl atoms with an excess of O-3 or via the reaction of Cl atoms with Cl2O. Neither HO2 nor ClO were directly observed during the course of the experiments, but these species were converted to OH or Cl radicals, respectively, via reaction with NO prior to their observation. OH fluorescence was observed at 308 nm, whereas Cl fluorescence was observed at approximately 138 nm. Numerical simulations show that under the experimental conditions used secondary reactions did not interfere with the measurements; however, some HO2 was lost on conversion to OH for experiments in excess HO2. These results were corrected to compensate for the simulated loss. At 296 K, the rate coefficient was determined to be (6.4 +/- 1.6) x 10(-12) cm(3) molecule(-1) s(-1). The temperature dependence expressed in Arrhenius form is (1.75 +/- 0.52) x 10(-12) exp[(368 +/- 78)/T] cm(3) molecule(-1) s(-1). The Arrhenius expression is derived from a fit weighted by the reciprocal of the measurement errors of the individual data points. The uncertainties are cited at the level of two standard deviations and contain contributions from statistical errors from the data analysis in addition to estimates of the systematic experimental errors and possible errors from the applied model correction.</t>
  </si>
  <si>
    <t>CALTECH, Jet Prop Lab, NASA, Pasadena, CA 91109 USA</t>
  </si>
  <si>
    <t>California Institute of Technology; National Aeronautics &amp; Space Administration (NASA); NASA Jet Propulsion Laboratory (JPL)</t>
  </si>
  <si>
    <t>Sander, SP (corresponding author), CALTECH, Jet Prop Lab, NASA, 4800 Oak Grove Dr, Pasadena, CA 91109 USA.</t>
  </si>
  <si>
    <t>ssander@jpl.nasa.gov</t>
  </si>
  <si>
    <t>Hickson, Kevin M/A-2443-2012; Hickson, Kevin/AAA-4572-2019</t>
  </si>
  <si>
    <t>Hickson, Kevin M/0000-0001-8317-2606; Hickson, Kevin/0000-0001-8317-2606</t>
  </si>
  <si>
    <t>AMER CHEMICAL SOC</t>
  </si>
  <si>
    <t>1155 16TH ST, NW, WASHINGTON, DC 20036 USA</t>
  </si>
  <si>
    <t>1089-5639</t>
  </si>
  <si>
    <t>J PHYS CHEM A</t>
  </si>
  <si>
    <t>J. Phys. Chem. A</t>
  </si>
  <si>
    <t>AUG 23</t>
  </si>
  <si>
    <t>10.1021/jp0689464</t>
  </si>
  <si>
    <t>Chemistry, Physical; Physics, Atomic, Molecular &amp; Chemical</t>
  </si>
  <si>
    <t>Chemistry; Physics</t>
  </si>
  <si>
    <t>200JD</t>
  </si>
  <si>
    <t>WOS:000248758800012</t>
  </si>
  <si>
    <t>Kawamura, K; Parrenin, F; Lisiecki, L; Uemura, R; Vimeux, F; Severinghaus, JP; Hutterli, MA; Nakazawa, T; Aoki, S; Jouzel, J; Raymo, ME; Matsumoto, K; Nakata, H; Motoyama, H; Fujita, S; Goto-Azuma, K; Fujii, Y; Watanabe, O</t>
  </si>
  <si>
    <t>Kawamura, Kenji; Parrenin, Frederic; Lisiecki, Lorraine; Uemura, Ryu; Vimeux, Francoise; Severinghaus, Jeffrey P.; Hutterli, Manuel A.; Nakazawa, Takakiyo; Aoki, Shuji; Jouzel, Jean; Raymo, Maureen E.; Matsumoto, Koji; Nakata, Hisakazu; Motoyama, Hideaki; Fujita, Shuji; Goto-Azuma, Kumiko; Fujii, Yoshiyuki; Watanabe, Okitsugu</t>
  </si>
  <si>
    <t>Northern Hemisphere forcing of climatic cycles in Antarctica over the past 360,000 years</t>
  </si>
  <si>
    <t>NATURE</t>
  </si>
  <si>
    <t>SEA-LEVEL; TEMPERATURE-CHANGES; LATE PLEISTOCENE; ICE CORE; AIR; METHANE; RECORD; SCALE; CO2</t>
  </si>
  <si>
    <t>The Milankovitch theory of climate change proposes that glacial interglacial cycles are driven by changes in summer insolation at high northern latitudes(1). The timing of climate change in the Southern Hemisphere at glacial-interglacial transitions (which are known as terminations) relative to variations in summer insolation in the Northern Hemisphere is an important test of this hypothesis. So far, it has only been possible to apply this test to the most recent termination(2,3), because the dating uncertainty associated with older terminations is too large to allow phase relationships to be determined. Here we present a new chronology of Antarctic climate change over the past 360,000 years that is based on the ratio of oxygen to nitrogen molecules in air trapped in the Dome Fuji and Vostok ice cores(4,5). This ratio is a proxy for local summer insolation(5), and thus allows the chronology to be constructed by orbital tuning without the need to assume a lag between a climate record and an orbital parameter. The accuracy of the chronology allows us to examine the phase relationships between climate records from the ice cores(6-9) and changes in insolation. Our results indicate that orbital-scale Antarctic climate change lags Northern Hemisphere insolation by a few millennia, and that the increases in Antarctic temperature and atmospheric carbon dioxide concentration during the last four terminations occurred within the rising phase of Northern Hemisphere summer insolation. These results support the Milankovitch theory that Northern Hemisphere summer insolation triggered the last four deglaciations(3,10,11).</t>
  </si>
  <si>
    <t>Tohoku Univ, Grad Sch Sci, Ctr Atmospher &amp; Ocean Studies, Sendai, Miyagi 9808578, Japan; Univ Calif San Diego, Scripps Inst Oceanog, La Jolla, CA 92093 USA; UJF, CNRS, Lab Glaciol &amp; Geophys Environm, F-38400 Grenoble, France; Boston Univ, Dept Earth Sci, Boston, MA 02215 USA; Natl Inst Polar Res, Res Org Informat &amp; Syst, Itabashi Ku, Tokyo 1738515, Japan; IRD, UR Great Ice, Gif Sur Yvette, France; CEA, UMR CNRS UVSQ, CE Saclay, IPSL LSCE, F-91191 Gif Sur Yvette, France; British Antarctic Survey, Cambridge CB3 0ET, England</t>
  </si>
  <si>
    <t>Tohoku University; University of California System; University of California San Diego; Scripps Institution of Oceanography; Communaute Universite Grenoble Alpes; Universite Grenoble Alpes (UGA); Centre National de la Recherche Scientifique (CNRS); Boston University; Research Organization of Information &amp; Systems (ROIS); National Institute of Polar Research (NIPR) - Japan; Institut de Recherche pour le Developpement (IRD); Universite Paris Saclay; CEA; Centre National de la Recherche Scientifique (CNRS); UK Research &amp; Innovation (UKRI); Natural Environment Research Council (NERC); NERC British Antarctic Survey</t>
  </si>
  <si>
    <t>Kawamura, K (corresponding author), Natl Inst Polar Res, Res Org Informat &amp; Syst, Itabashi Ku, 1-9-10 Kaga, Tokyo 1738515, Japan.</t>
  </si>
  <si>
    <t>kawamura@nipr.ac.jp</t>
  </si>
  <si>
    <t>Uemura, Ryu/C-9793-2012; Raymo, Maureen E/A-1270-2012; Parrenin, Frédéric/H-3054-2014; Lisiecki, Lorraine E/C-4066-2008; Uemura, Ryu/AGR-0677-2022; Fujita, Shuji/A-7884-2016; Kawamura, Kenji/C-7660-2011</t>
  </si>
  <si>
    <t>Uemura, Ryu/0000-0002-4236-0085; Parrenin, Frédéric/0000-0002-9489-3991; Uemura, Ryu/0000-0002-4236-0085; Fujita, Shuji/0000-0003-0127-0777; Kawamura, Kenji/0000-0003-1163-700X; Lisiecki, Lorraine/0000-0001-7859-0096</t>
  </si>
  <si>
    <t>Natural Environment Research Council [bas010016] Funding Source: researchfish; NERC [bas010016] Funding Source: UKRI</t>
  </si>
  <si>
    <t>Natural Environment Research Council(UK Research &amp; Innovation (UKRI)Natural Environment Research Council (NERC)); NERC(UK Research &amp; Innovation (UKRI)Natural Environment Research Council (NERC))</t>
  </si>
  <si>
    <t>NATURE PUBLISHING GROUP</t>
  </si>
  <si>
    <t>LONDON</t>
  </si>
  <si>
    <t>MACMILLAN BUILDING, 4 CRINAN ST, LONDON N1 9XW, ENGLAND</t>
  </si>
  <si>
    <t>0028-0836</t>
  </si>
  <si>
    <t>1476-4687</t>
  </si>
  <si>
    <t>Nature</t>
  </si>
  <si>
    <t>U4</t>
  </si>
  <si>
    <t>10.1038/nature06015</t>
  </si>
  <si>
    <t>202OM</t>
  </si>
  <si>
    <t>WOS:000248912900043</t>
  </si>
  <si>
    <t>Daunt, F; Afanasyev, V; Adam, A; Croxall, JP; Wanless, S</t>
  </si>
  <si>
    <t>Daunt, F.; Afanasyev, V.; Adam, A.; Croxall, J. P.; Wanless, S.</t>
  </si>
  <si>
    <t>From cradle to early grave:: juvenile mortality in European shags Phalacrocorax aristotelis results from inadequate development of foraging proficiency</t>
  </si>
  <si>
    <t>BIOLOGY LETTERS</t>
  </si>
  <si>
    <t>immature survival; foraging efficiency; environmental constraints; moribund</t>
  </si>
  <si>
    <t>GREAT CORMORANTS; SURVIVAL</t>
  </si>
  <si>
    <t>In most long-lived animal species, juveniles survive less well than adults. A potential mechanism is inferior foraging skills but longitudinal studies that follow the development of juvenile foraging are needed to test this. We used miniaturized activity loggers to record daily foraging times of juvenile and adult European shags Phalacrocorax aristotelis from fledging to the following spring. Juveniles became independent from their parents 40 days post-fledging. They compensated for poor foraging proficiency by foraging for approximately 3 h d(-1) longer than adults until constrained by day length in early November. Thereafter, juvenile foraging time tracked shortening day length up to the winter solstice, when foraging time of the two age classes converged and continued to track day length until early February. Few individuals died until midwinter and mortality peaked in January-February, with juvenile mortality (including some of the study birds) five times that of adults. In their last two weeks of life, juveniles showed a marked decline in foraging time consistent with individuals becoming moribund. Our results provide compelling evidence that juveniles compensate for poor foraging proficiency by increasing foraging time, a strategy that is limited by day length resulting in high winter mortality.</t>
  </si>
  <si>
    <t>Ctr Ecol &amp; Hydrol, Hill Brathens, Banchory AB31 4BW, Kincardine, Scotland; British Antarctic Survey, Cambridge CB3 0ET, England; Univ Glasgow, Inst Biomed &amp; Life Sci, Glasgow G12 8QQ, Lanark, Scotland</t>
  </si>
  <si>
    <t>UK Centre for Ecology &amp; Hydrology (UKCEH); UK Research &amp; Innovation (UKRI); Natural Environment Research Council (NERC); NERC British Antarctic Survey; University of Glasgow</t>
  </si>
  <si>
    <t>Daunt, F (corresponding author), Ctr Ecol &amp; Hydrol, Hill Brathens, Banchory AB31 4BW, Kincardine, Scotland.</t>
  </si>
  <si>
    <t>frada@ceh.ac.uk</t>
  </si>
  <si>
    <t>Wanless, Sarah/K-2338-2012; Daunt, Francis/K-6688-2012</t>
  </si>
  <si>
    <t>Wanless, Sarah/0000-0002-2788-4606; Daunt, Francis/0000-0003-4638-3388</t>
  </si>
  <si>
    <t>Natural Environment Research Council [bas010017, bas010013, CEH010021] Funding Source: researchfish; NERC [bas010013, bas010017] Funding Source: UKRI</t>
  </si>
  <si>
    <t>ROYAL SOC</t>
  </si>
  <si>
    <t>6-9 CARLTON HOUSE TERRACE, LONDON SW1Y 5AG, ENGLAND</t>
  </si>
  <si>
    <t>1744-9561</t>
  </si>
  <si>
    <t>1744-957X</t>
  </si>
  <si>
    <t>BIOL LETTERS</t>
  </si>
  <si>
    <t>Biol. Lett.</t>
  </si>
  <si>
    <t>AUG 22</t>
  </si>
  <si>
    <t>10.1098/rsbl.2007.0157</t>
  </si>
  <si>
    <t>Biology; Ecology; Evolutionary Biology</t>
  </si>
  <si>
    <t>Life Sciences &amp; Biomedicine - Other Topics; Environmental Sciences &amp; Ecology; Evolutionary Biology</t>
  </si>
  <si>
    <t>188GG</t>
  </si>
  <si>
    <t>WOS:000247907000006</t>
  </si>
  <si>
    <t>Yang, XY; Wang, DX; Wang, J; Huang, RX</t>
  </si>
  <si>
    <t>Yang, Xiao-Yi; Wang, Dongxiao; Wang, Jia; Huang, Rui Xin</t>
  </si>
  <si>
    <t>Connection between the decadal variability in the Southern Ocean circulation and the Southern Annular Mode</t>
  </si>
  <si>
    <t>ANTARCTIC CIRCUMPOLAR CURRENT; EXTRATROPICAL CIRCULATION; TRANSPORT; TRENDS; WINDS</t>
  </si>
  <si>
    <t>Previous studies demonstrated the remarkable upward trend of the Southern Annular Mode ( SAM) and Southern Ocean wind stress in association with anthropogenic forcing. An oceanic reanalysis data set is used to investigate the response of the circulation in the Southern Ocean to the decadal variability of SAM. Our results indicate the strengthening and the poleward shift of the northward Ekman velocity as well as the Ekman pumping rate, which led to a corresponding strengthening trend in the Deacon Cell. This strengthening, in turn, intensified the meridional density gradient and the tilting of the isopycnal surfaces. On the interannual time scale, the Antarctic Circumpolar Currents ( ACC) transport exhibits a positive correlation with SAM index as seen separately in observations. However, there is no significant trend in the total transport of ACC. Possible reasons are discussed.</t>
  </si>
  <si>
    <t>Chinese Acad Sci, S China Sea Inst Oceanol, Key Lab Trop Marine Environm Dynam LED, Guangzhou 510301, Peoples R China; Univ Alaska Fairbanks, Int Arct Res Ctr, Fairbanks, AK USA; Woods Hole Oceanog Inst, Dept Phys Oceanog, Woods Hole, MA 02543 USA</t>
  </si>
  <si>
    <t>Chinese Academy of Sciences; South China Sea Institute of Oceanology, CAS; University of Alaska System; University of Alaska Fairbanks; Woods Hole Oceanographic Institution</t>
  </si>
  <si>
    <t>Yang, XY (corresponding author), Chinese Acad Sci, S China Sea Inst Oceanol, Key Lab Trop Marine Environm Dynam LED, Guangzhou 510301, Peoples R China.</t>
  </si>
  <si>
    <t>yxy@scsio.ac.cn; dxwang@scsio.ac.cn</t>
  </si>
  <si>
    <t>huang, rui/JYP-3898-2024; WANG, DongXiao/B-4445-2012</t>
  </si>
  <si>
    <t>WANG, DongXiao/0000-0001-8778-2188; Wang, Jia/0000-0003-4154-9721</t>
  </si>
  <si>
    <t>L16604</t>
  </si>
  <si>
    <t>10.1029/2007GL030526</t>
  </si>
  <si>
    <t>204EW</t>
  </si>
  <si>
    <t>WOS:000249027500005</t>
  </si>
  <si>
    <t>Eyring, V; Waugh, DW; Bodeker, GE; Cordero, E; Akiyoshi, H; Austin, J; Beagley, SR; Boville, BA; Braesicke, P; Brühl, C; Butchart, N; Chipperfield, MP; Dameris, M; Deckert, R; Deushi, M; Frith, SM; Garcia, RR; Gettelman, A; Giorgetta, MA; Kinnison, DE; Mancini, E; Manzini, E; Marsh, DR; Matthes, S; Nagashima, T; Newman, PA; Nielsen, JE; Pawson, S; Pitari, G; Plummer, DA; Rozanov, E; Schraner, M; Scinocca, JF; Semeniuk, K; Shepherd, TG; Shibata, K; Steil, B; Stolarski, RS; Tian, W; Yoshiki, M</t>
  </si>
  <si>
    <t>Eyring, V.; Waugh, D. W.; Bodeker, G. E.; Cordero, E.; Akiyoshi, H.; Austin, J.; Beagley, S. R.; Boville, B. A.; Braesicke, P.; Bruehl, C.; Butchart, N.; Chipperfield, M. P.; Dameris, M.; Deckert, R.; Deushi, M.; Frith, S. M.; Garcia, R. R.; Gettelman, A.; Giorgetta, M. A.; Kinnison, D. E.; Mancini, E.; Manzini, E.; Marsh, D. R.; Matthes, S.; Nagashima, T.; Newman, P. A.; Nielsen, J. E.; Pawson, S.; Pitari, G.; Plummer, D. A.; Rozanov, E.; Schraner, M.; Scinocca, J. F.; Semeniuk, K.; Shepherd, T. G.; Shibata, K.; Steil, B.; Stolarski, R. S.; Tian, W.; Yoshiki, M.</t>
  </si>
  <si>
    <t>Multimodel projections of stratospheric ozone in the 21st century</t>
  </si>
  <si>
    <t>JOURNAL OF GEOPHYSICAL RESEARCH-ATMOSPHERES</t>
  </si>
  <si>
    <t>CHEMISTRY-CLIMATE MODEL; GASES NITROUS-OXIDE; MIDDLE ATMOSPHERE; INTERACTIVE CHEMISTRY; GREENHOUSE GASES; INTERANNUAL VARIABILITY; FUTURE CONCENTRATIONS; WATER-VAPOR; ART.; SENSITIVITY</t>
  </si>
  <si>
    <t>Simulations from eleven coupled chemistry-climate models (CCMs) employing nearly identical forcings have been used to project the evolution of stratospheric ozone throughout the 21st century. The model-to-model agreement in projected temperature trends is good, and all CCMs predict continued, global mean cooling of the stratosphere over the next 5 decades, increasing from around 0.25 K/decade at 50 hPa to around 1 K/decade at 1 hPa under the Intergovernmental Panel on Climate Change ( IPCC) Special Report on Emissions Scenarios (SRES) A1B scenario. In general, the simulated ozone evolution is mainly determined by decreases in halogen concentrations and continued cooling of the global stratosphere due to increases in greenhouse gases (GHGs). Column ozone is projected to increase as stratospheric halogen concentrations return to 1980s levels. Because of ozone increases in the middle and upper stratosphere due to GHG-induced cooling, total ozone averaged over midlatitudes, outside the polar regions, and globally, is projected to increase to 1980 values between 2035 and 2050 and before lowerstratospheric halogen amounts decrease to 1980 values. In the polar regions the CCMs simulate small temperature trends in the first and second half of the 21st century in midwinter. Differences in stratospheric inorganic chlorine (Cl-y) among the CCMs are key to diagnosing the intermodel differences in simulated ozone recovery, in particular in the Antarctic. It is found that there are substantial quantitative differences in the simulated Cly, with the October mean Antarctic Cly peak value varying from less than 2 ppb to over 3.5 ppb in the CCMs, and the date at which the Cly returns to 1980 values varying from before 2030 to after 2050. There is a similar variation in the timing of recovery of Antarctic springtime column ozone back to 1980 values. As most models underestimate peak Cly near 2000, ozone recovery in the Antarctic could occur even later, between 2060 and 2070. In the Arctic the column ozone increase in spring does not follow halogen decreases as closely as in the Antarctic, reaching 1980 values before Arctic halogen amounts decrease to 1980 values and before the Antarctic. None of the CCMs predict future large decreases in the Arctic column ozone. By 2100, total column ozone is projected to be substantially above 1980 values in all regions except in the tropics.</t>
  </si>
  <si>
    <t>Deutsches Zent Luft &amp; Raunfahrt, Inst Atmospher Phys, Oberpfaffenhofen, Germany; Johns Hopkins Univ, Dept Earth &amp; Planetary Sci, Baltimore, MD 21218 USA; Natl Inst Water &amp; Atmospher Res, Lauder, New Zealand; San Jose State Univ, Dept Meteorol, San Jose, CA 95192 USA; Natl Inst Environm Studies, Tsukuba, Ibaraki, Japan; NOAA, Geophys Fluid Dynam Lab, Princeton, NJ USA; York Univ, Dept Earth &amp; Space Sci &amp; Engn, Toronto, ON M3J 2R7, Canada; Natl Ctr Atmospher Res, Boulder, CO 80307 USA; Univ Cambridge, Ctr Atmospher Sci, Cambridge, England; Max Planck Inst Chem, D-55128 Mainz, Germany; Met Off Climate Res Div, Exeter, Devon, England; Univ Leeds, Inst Atmospher Sci, Leeds LS2 9JT, W Yorkshire, England; Meteorol Res Inst, Tsukuba, Ibaraki, Japan; Sci Syst &amp; Applicat Inc, Lanham, MD USA; Max Planck Inst Meteorol, Hamburg, Germany; Univ Aquila, Dipartimento Fis, I-67100 Laquila, Italy; Ist Nazl Geofis &amp; Vulcanol, Ctr Euro Mediterraneo Cambiamenti Climat, Bologna, Italy; NASA, Goddard Space Flight Ctr, Greenbelt, MD 20771 USA; Environm Canada, Atomospher Environm Serv, Toronto, ON M3H 5T4, Canada; World Radiat Ctr, Inst Atmospher &amp; Climate Sci ETHZ, Phys Meteorol Observ, Davos, Switzerland; ETH, Inst Atmospher &amp; Climate Sci, Zurich, Switzerland; Univ Victoria, Canadian Ctr Climate Modelling &amp; Anal, Meteorol Serv Canada, Victoria, BC, Canada; Univ Toronto, Dept Phys, Toronto, ON, Canada</t>
  </si>
  <si>
    <t>Helmholtz Association; German Aerospace Centre (DLR); Johns Hopkins University; National Institute of Water &amp; Atmospheric Research (NIWA) - New Zealand; California State University System; San Jose State University; National Institute for Environmental Studies - Japan; National Oceanic Atmospheric Admin (NOAA) - USA; York University - Canada; National Center Atmospheric Research (NCAR) - USA; University of Cambridge; Max Planck Society; Met Office - UK; Hadley Centre; University of Leeds; Meteorological Research Institute - Japan; Science Systems and Applications Inc; Max Planck Society; University of L'Aquila; Istituto Nazionale Geofisica e Vulcanologia (INGV); National Aeronautics &amp; Space Administration (NASA); NASA Goddard Space Flight Center; Environment &amp; Climate Change Canada; Swiss Federal Institutes of Technology Domain; ETH Zurich; Swiss Federal Institutes of Technology Domain; ETH Zurich; Environment &amp; Climate Change Canada; Canadian Centre for Climate Modelling &amp; Analysis (CCCma); University of Victoria; Meteorological Service of Canada; University of Toronto</t>
  </si>
  <si>
    <t>Eyring, V (corresponding author), Deutsches Zent Luft &amp; Raunfahrt, Inst Atmospher Phys, Oberpfaffenhofen, Germany.</t>
  </si>
  <si>
    <t>veronika.eyring@dlr.de</t>
  </si>
  <si>
    <t>Chipperfield, Martyn/H-6359-2013; Rozanov, Eugene/A-9857-2012; Rozanov, Eugene/V-1881-2018; Marsh, Daniel/A-8406-2008; Pawson, Steven/I-1865-2014; Braesicke, Peter/D-8330-2016; , John/IQU-7911-2023; Bodeker, Greg E/A-8870-2008; Akiyoshi, Hideharu/H-8170-2018; Frith, Stacey/HMD-9437-2023; Stolarski, Richard S/B-8499-2013; Manzini, Elisa/H-5760-2011; Gettelman, Andrew/AAY-2312-2021; Eyring, Veronika/O-9999-2016; Pitari, Giovanni/O-7458-2016; Newman, Paul A./D-6208-2012; Waugh, Darryn/K-3688-2016</t>
  </si>
  <si>
    <t>Chipperfield, Martyn/0000-0002-6803-4149; Rozanov, Eugene/0000-0003-0479-4488; Rozanov, Eugene/0000-0003-0479-4488; Marsh, Daniel/0000-0001-6699-494X; Braesicke, Peter/0000-0003-1423-0619; Frith, Stacey/0000-0001-6894-0574; Eyring, Veronika/0000-0002-6887-4885; Giorgetta, Marco/0000-0002-4278-1963; Akiyoshi, Hideharu/0000-0001-6463-9004; Dameris, Martin/0000-0001-6700-0628; Pitari, Giovanni/0000-0001-7051-9578; Deushi, Makoto/0000-0002-0373-3918; Newman, Paul A./0000-0003-1139-2508; Waugh, Darryn/0000-0001-7692-2798; Mancini, Eva/0000-0001-7071-0292</t>
  </si>
  <si>
    <t>Natural Environment Research Council [ncas10009, NE/C003969/1] Funding Source: researchfish</t>
  </si>
  <si>
    <t>Natural Environment Research Council(UK Research &amp; Innovation (UKRI)Natural Environment Research Council (NERC))</t>
  </si>
  <si>
    <t>2169-897X</t>
  </si>
  <si>
    <t>2169-8996</t>
  </si>
  <si>
    <t>J GEOPHYS RES-ATMOS</t>
  </si>
  <si>
    <t>J. Geophys. Res.-Atmos.</t>
  </si>
  <si>
    <t>AUG 21</t>
  </si>
  <si>
    <t>D16</t>
  </si>
  <si>
    <t>D16303</t>
  </si>
  <si>
    <t>10.1029/2006JD008332</t>
  </si>
  <si>
    <t>Meteorology &amp; Atmospheric Sciences</t>
  </si>
  <si>
    <t>204FL</t>
  </si>
  <si>
    <t>Green Published, Green Accepted</t>
  </si>
  <si>
    <t>WOS:000249029000005</t>
  </si>
  <si>
    <t>Nedoluha, GE; Alfred, J; Benson, CM; Hoppel, KW; Wickert, J; Koenig-Langlo, G</t>
  </si>
  <si>
    <t>Nedoluha, Gerald E.; Alfred, Jerome; Benson, Craig M.; Hoppel, Karl W.; Wickert, Jens; Koenig-Langlo, Gert</t>
  </si>
  <si>
    <t>A comparison of radiosonde and GPS radio occultation measurements with meteorological temperature analyses in the Antarctic vortex, 1998-2004</t>
  </si>
  <si>
    <t>ART.; VALIDATION; OZONE; CHAMP</t>
  </si>
  <si>
    <t>We present comparisons between temperature measurements from sondes launched from South Pole Station and Neumayer Station with four meteorological analyses for the years 1998 - 2004. We also compare these meteorological analyses with inside-the-vortex GPS radio occultation measurements from the Challenging Minisatellite Payload ( CHAMP) instrument for 2001 - 2004. We use these comparisons to evaluate the interannual consistency of four meteorological analyses. We find that over the 1998 - 2004 period each of the four analyses showed at least one year-to-year jump in the average 1 June to 30 September bias of &gt; 2.3 K when compared to the Neumayer and South Pole sondes at 30 hPa and 50 hPa. We find that while for the one nonoperational analysis ( the NCEP Reanalysis) the biases relative to sondes and GPS radio occultation measurements are often larger than for the operational analyses, the NCEP Reanalysis does show the best interannual consistency at 50 hPa. Having compared the meteorological analyses with measurements and with each other, we investigate whether the unusually high ozone at the top of the ozone hole (similar to 30 hPa) in 2003 can be understood in terms of unusually warm temperatures which would reduce the rate of chlorine activation and hence ozone destruction. We find that when bias corrections based on analysis-sonde comparisons are applied none of the meteorological analyses studied indicate that the winter of 2003 was warmer at 30 hPa than that of 1998 and 2000, years which did not show unusually high ozone at 30 hPa.</t>
  </si>
  <si>
    <t>USN, Res Lab, Washington, DC 20375 USA; Computat Phys Inc, Springfield, VA USA; NASA, Goddard Space Flight Ctr, Global Modeling &amp; Assimilat Off, Greenbelt, MD 20771 USA; Goddard Earth Sci &amp; Technol Ctr, Baltimore, MD USA; Geoforschungszentrum Potsdam, D-14473 Potsdam, Germany; Alfred Wegener Inst Polar &amp; Marine Res, D-2850 Bremerhaven, Germany</t>
  </si>
  <si>
    <t>United States Department of Defense; United States Navy; Naval Research Laboratory; Computational Physics Inc; National Aeronautics &amp; Space Administration (NASA); NASA Goddard Space Flight Center; National Aeronautics &amp; Space Administration (NASA); NASA Goddard Space Flight Center; Helmholtz Association; Helmholtz-Center Potsdam GFZ German Research Center for Geosciences; Helmholtz Association; Alfred Wegener Institute, Helmholtz Centre for Polar &amp; Marine Research</t>
  </si>
  <si>
    <t>Nedoluha, GE (corresponding author), USN, Res Lab, Washington, DC 20375 USA.</t>
  </si>
  <si>
    <t>nedoluha@nrl.navy.mil</t>
  </si>
  <si>
    <t>Wickert, Jens/A-7257-2013; Konig-Langlo, Gert/K-5048-2012</t>
  </si>
  <si>
    <t>Konig-Langlo, Gert/0000-0002-6100-4107</t>
  </si>
  <si>
    <t>D16304</t>
  </si>
  <si>
    <t>10.1029/2007Jd008928</t>
  </si>
  <si>
    <t>WOS:000249029000007</t>
  </si>
  <si>
    <t>Tomasi, C; Vitale, V; Lupi, A; Di Carmine, C; Campanelli, M; Herber, A; Treffeisen, R; Stone, RS; Andrews, E; Sharma, S; Radionov, V; von Hoyningen-Huene, W; Stebel, K; Hansen, GH; Myhre, CL; Wehrli, C; Aaltonen, V; Lihavainen, H; Virkkula, A; Hillamo, R; Ström, J; Toledano, C; Cachorro, VE; Ortiz, P; de Frutos, AM; Blindheim, S; Frioud, M; Gausa, M; Zielinski, T; Petelski, T; Yamanouchi, T</t>
  </si>
  <si>
    <t>Tomasi, C.; Vitale, V.; Lupi, A.; Di Carmine, C.; Campanelli, M.; Herber, A.; Treffeisen, R.; Stone, R. S.; Andrews, E.; Sharma, S.; Radionov, V.; von Hoyningen-Huene, W.; Stebel, K.; Hansen, G. H.; Myhre, C. L.; Wehrli, C.; Aaltonen, V.; Lihavainen, H.; Virkkula, A.; Hillamo, R.; Stroem, J.; Toledano, C.; Cachorro, V. E.; Ortiz, P.; de Frutos, A. M.; Blindheim, S.; Frioud, M.; Gausa, M.; Zielinski, T.; Petelski, T.; Yamanouchi, T.</t>
  </si>
  <si>
    <t>Aerosols in polar regions:: A historical overview based on optical depth and in situ observations</t>
  </si>
  <si>
    <t>SEA-SALT PARTICLES; LONG-TERM DECREASE; ARCTIC HAZE; SIZE DISTRIBUTIONS; STRATOSPHERIC AEROSOLS; ASIAN SOURCE; ICE EXTENT; SURFACE; BARROW; ALASKA</t>
  </si>
  <si>
    <t>Large sets of filtered actinometer, filtered pyrheliometer and Sun photometer measurements have been carried out over the past 30 years by various groups at different Arctic and Antarctic sites and for different time periods. They were examined to estimate ensemble average, long-term trends of the summer background aerosol optical depth AOD(500 nm) in the polar regions ( omitting the data influenced by Arctic haze and volcanic eruptions). The trend for the Arctic was estimated to be between -1.6% and -2.0% per year over 30 years, depending on location. No significant trend was observed for Antarctica. The time patterns of AOD( 500 nm) and angstrom ngstrom's parameters a and beta measured with Sun photometers during the last 20 years at various Arctic and Antarctic sites are also presented. They give a measure of the large variations of these parameters due to El Chichon, Pinatubo, and Cerro Hudson volcanic particles, Arctic haze episodes most frequent in winter and spring, and the transport of Asian dust and boreal smokes to the Arctic region. Evidence is also shown of marked differences between the aerosol optical parameters measured at coastal and high-altitude sites in Antarctica. In situ optical and chemical composition parameters of aerosol particles measured at Arctic and Antarctic sites are also examined to achieve more complete information on the multimodal size distribution shape parameters and their radiative properties. A characterization of aerosol radiative parameters is also defined by plotting the daily mean values of a as a function of AOD( 500 nm), separately for the two polar regions, allowing the identification of different clusters related to fifteen aerosol classes, for which the spectral values of complex refractive index and single scattering albedo were evaluated.</t>
  </si>
  <si>
    <t>Consiglo Nazl Rich, Inst Atmospher Sci &amp; Climate, Bologna, Italy; Consiglo Nazl Rich, Inst Atmospher Sci &amp; Climate, Rome, Italy; Alfred Wegener Inst Polar &amp; Marine Res, D-2850 Bremerhaven, Germany; Alfred Wegener Inst Polar &amp; Marine Res, Potsdam, Germany; NOAA, Global Monitoring Div, Boulder, CO USA; Environm Canada, Sci &amp; Technol Branch, Toronto, ON, Canada; Arct &amp; Antarct Res Inst, St Petersburg, Russia; Univ Bremen, Inst Environm Phys Remote Sensing, Bremen, Germany; Norwegian Inst Air Res, Polar Environm Ctr, Tromso, Norway; World Radiat Ctr, Phys Meteorol Observ, Davos, Switzerland; Finnish Meteorol Inst, FIN-00101 Helsinki, Finland; Stockholm Univ, Dept Appl Environm Sci, S-10691 Stockholm, Sweden; Univ Valladolid, Grp Opt Atmospher, Valladolid, Spain; Andoya Rocket Range, Andenes, Norway; Polish Acad Sci, Inst Oceanol, Sopot, Poland; Natl Inst Polar Res, Tokyo 173, Japan</t>
  </si>
  <si>
    <t>Consiglio Nazionale delle Ricerche (CNR); Istituto di Scienze dell'Atmosfera e del Clima (ISAC-CNR); Helmholtz Association; Alfred Wegener Institute, Helmholtz Centre for Polar &amp; Marine Research; Helmholtz Association; Alfred Wegener Institute, Helmholtz Centre for Polar &amp; Marine Research; National Oceanic Atmospheric Admin (NOAA) - USA; Environment &amp; Climate Change Canada; University of Bremen; NILU; Finnish Meteorological Institute; Stockholm University; Universidad de Valladolid; Polish Academy of Sciences; Institute of Oceanology of the Polish Academy of Sciences; Research Organization of Information &amp; Systems (ROIS); National Institute of Polar Research (NIPR) - Japan</t>
  </si>
  <si>
    <t>Tomasi, C (corresponding author), Consiglo Nazl Rich, Inst Atmospher Sci &amp; Climate, Bologna, Italy.</t>
  </si>
  <si>
    <t>hoyning@iup.physik.uni-bremen.de; toledano@baraja.opt.cie.uva.es; chiqui@baraja.opt.cie.uva.es; jportiz@baraja.opt.cie.uva.es; angel@baraja.opt.cie.uva.es</t>
  </si>
  <si>
    <t>Myhre, Cathrine L Lund/M-4508-2014; Toledano, Carlos/J-3672-2012; andrews, elisabeth/A-7104-2018; Lihavainen, Heikki/IAQ-5287-2023; Aaltonen, Veijo/J-8814-2017; Radionov, Vladimir F./O-3038-2017; Lihavainen, Heikki/N-4840-2014; vitale, vito/AAW-8441-2021; Virkkula, Aki/B-8575-2014; de Frutos, Ángel M/M-3459-2017; Ortiz-de-Galisteo, Jose Pablo/O-4607-2014; Yamanouchi, Takashi/P-2041-2015; Cachorro, Victoria E/M-3708-2017; Stebel, Kerstin/F-6465-2013</t>
  </si>
  <si>
    <t>Myhre, Cathrine L Lund/0000-0003-3587-5926; Toledano, Carlos/0000-0002-6890-6648; andrews, elisabeth/0000-0002-9394-024X; Lihavainen, Heikki/0000-0002-6135-4473; Virkkula, Aki/0000-0003-4874-7552; Ortiz-de-Galisteo, Jose Pablo/0000-0001-6649-8970; lupi, angelo/0000-0002-5009-9876; Gausa, Michael/0000-0002-6018-6279; Cachorro, Victoria/0000-0002-4627-9444; Zielinski, Tymon/0000-0003-4712-8899; vitale, vito/0000-0003-0978-8976; de Frutos, Angel M/0000-0001-5748-5078; Petelski, Tomasz/0000-0001-6125-5689; Stebel, Kerstin/0000-0002-6935-7564</t>
  </si>
  <si>
    <t>D16205</t>
  </si>
  <si>
    <t>10.1029/2007JD008432</t>
  </si>
  <si>
    <t>WOS:000249029000006</t>
  </si>
  <si>
    <t>Biuw, M; Boehme, L; Guinet, C; Hindell, M; Costa, D; Charrassin, JB; Roquet, F; Bailleul, F; Meredith, M; Thorpe, S; Tremblay, Y; McDonald, B; Park, YH; Rintoul, SR; Bindoff, N; Goebel, M; Crocker, D; Lovell, P; Nicholson, J; Monks, F; Fedak, MA</t>
  </si>
  <si>
    <t>Biuw, M.; Boehme, L.; Guinet, C.; Hindell, M.; Costa, D.; Charrassin, J. -B.; Roquet, F.; Bailleul, F.; Meredith, M.; Thorpe, S.; Tremblay, Y.; McDonald, B.; Park, Y.-H.; Rintoul, S. R.; Bindoff, N.; Goebel, M.; Crocker, D.; Lovell, P.; Nicholson, J.; Monks, F.; Fedak, M. A.</t>
  </si>
  <si>
    <t>Variations in behavior and condition of a Southern Ocean top predator in relation to in situ oceanographic conditions</t>
  </si>
  <si>
    <t>PROCEEDINGS OF THE NATIONAL ACADEMY OF SCIENCES OF THE UNITED STATES OF AMERICA</t>
  </si>
  <si>
    <t>body condition; ocean observation; oceanography; elephant seals</t>
  </si>
  <si>
    <t>SEAL MIROUNGA-LEONINA; ANTARCTIC FUR SEALS; ELEPHANT SEALS; DIVING BEHAVIOR; FORAGING AREAS; MACQUARIE ISLAND; TEMPERATURE DATA; PHYTOPLANKTON; ECOLOGY; PUPS</t>
  </si>
  <si>
    <t>Responses by marine top predators to environmental variability have previously been almost impossible to observe directly. By using animal-mounted instruments simultaneously recording movements, diving behavior, and in situ oceanographic properties, we studied the behavioral and physiological responses of southern elephant seals to spatial environmental variability throughout their circumpolar range. Improved body condition of seals in the Atlantic sector was associated with Circumpolar Deep Water up welling regions within the Antarctic Circumpolar Current, whereas High-Salinity Shelf Waters or temperature/salinity gradients under winter pack ice were important in the Indian and Pacific sectors. Energetic consequences of these variations could help explain recently observed population trends, showing the usefulness of this approach in examining the sensitivity of top predators to global and regional-scale climate variability.</t>
  </si>
  <si>
    <t>Univ St Andrews, Gatty Marine Lab, Nat Environm Res Council, Sea Mammal Res Unit, St Andrews KY16 8LB, Fife, Scotland; Ctr Natl Rech Sci, Ctr Etudes Biol Chize, F-79360 Beauvoir Sur Niort, France; Univ Tasmania, Sch Zool, Antartic Wildlife Res Unit, Hobart, Tas 7001, Australia; Univ Calif Santa Cruz, Long Marine Lab, Inst Marine Sci, Ctr Ocean Hlth, Santa Cruz, CA 95060 USA; Museum Natl Hist Nat, Lab Oceanog Phys, F-75231 Paris 05, France; British Antarctic Survey, Cambridge CB3 0ET, England; CSIRO, Hobart, Tas 7001, Australia; Ecosyst Cooperat Res Ctr, Hobart, Tas 7001, Australia; Univ Tasmania, Antartic Cooperat Res Ctr, Hobart, Tas 7001, Australia; Natl Ocean &amp; Atmospher Adm, Antartic Ecosyst Res Div, La Jolla, CA 92038 USA; Valeport Ltd, Totnes TQ9 5EW, Devon, England</t>
  </si>
  <si>
    <t>University of St Andrews; Centre National de la Recherche Scientifique (CNRS); University of Tasmania; University of California System; University of California Santa Cruz; Museum National d'Histoire Naturelle (MNHN); UK Research &amp; Innovation (UKRI); Natural Environment Research Council (NERC); NERC British Antarctic Survey; Commonwealth Scientific &amp; Industrial Research Organisation (CSIRO); University of Tasmania; National Oceanic Atmospheric Admin (NOAA) - USA</t>
  </si>
  <si>
    <t>Biuw, M (corresponding author), Norwegian Polar Res Inst, N-9296 Tromso, Norway.</t>
  </si>
  <si>
    <t>martin.biuw@npolar.no</t>
  </si>
  <si>
    <t>Guinet, Christophe/AAR-8457-2020; Rintoul, Stephen R/A-1471-2012; Biuw, Martin/AAF-9895-2021; Bindoff, Nathaniel Lee/IVV-0333-2023; Carlos, Universidade Federal de São/W-8832-2019; Bindoff, Nathaniel Lee/C-8050-2011; McDonald, Birgitte I/I-3602-2019; Roquet, Fabien/N-3221-2019; Hindell, Mark A/K-1131-2013; Roquet, Fabien/D-4848-2013; Fedak, Michael/B-3987-2009; Costa, Daniel Paul/E-2616-2013; Boehme, Lars/B-6567-2009</t>
  </si>
  <si>
    <t>Rintoul, Stephen R/0000-0002-7055-9876; Bindoff, Nathaniel Lee/0000-0001-5662-9519; Carlos, Universidade Federal de São/0000-0002-0334-3899; Bindoff, Nathaniel Lee/0000-0001-5662-9519; McDonald, Birgitte I/0000-0001-5028-066X; Roquet, Fabien/0000-0003-1124-4564; Fedak, Michael/0000-0002-9569-1128; Meredith, Michael/0000-0002-7342-7756; Costa, Daniel Paul/0000-0002-0233-5782; Tremblay, Yann/0000-0002-4653-9269; Thorpe, Sally/0000-0002-5193-6955; Boehme, Lars/0000-0003-3513-6816; Hindell, Mark/0000-0002-7823-7185</t>
  </si>
  <si>
    <t>NERC [bas010017] Funding Source: UKRI; Natural Environment Research Council [bas010017] Funding Source: researchfish</t>
  </si>
  <si>
    <t>NATL ACAD SCIENCES</t>
  </si>
  <si>
    <t>2101 CONSTITUTION AVE NW, WASHINGTON, DC 20418 USA</t>
  </si>
  <si>
    <t>0027-8424</t>
  </si>
  <si>
    <t>P NATL ACAD SCI USA</t>
  </si>
  <si>
    <t>Proc. Natl. Acad. Sci. U. S. A.</t>
  </si>
  <si>
    <t>10.1073/pnas.0701121104</t>
  </si>
  <si>
    <t>204SQ</t>
  </si>
  <si>
    <t>WOS:000249064700034</t>
  </si>
  <si>
    <t>Willen, E; Schulz, M</t>
  </si>
  <si>
    <t>Willen, Elke; Schulz, Maximilian</t>
  </si>
  <si>
    <t>Rediscovery of Bathypsammis Huys &amp; Gee, 1993 (Copepoda, Harpacticoida, Pseudotachidiidae) with description of a new species from the Antarctic deep sea</t>
  </si>
  <si>
    <t>ZOOTAXA</t>
  </si>
  <si>
    <t>Bathypsammis; new species; systematics; distribution; deep sea; southern Atlantic; Weddell Sea; Copepoda; Harpacticoida; deep sea meiofauna</t>
  </si>
  <si>
    <t>PARANANNOPIDAE COPEPODA; REVISION; GENERA; LANG</t>
  </si>
  <si>
    <t>The species diversity of Copepoda Harpacticoida in the deep sea of the Angola Basin ( DIVA I expedition with RV Meteor) and in the Weddell Sea ( ANDEEP II expedition with RV Polarstern) have been investigated. From the obtained multicorer samples two female specimens of Bathypsammis Huys &amp; Gee, 1993 were collected. The only specimen known before was described as Psammis longifurca by Bodin in 1968 from the northern Atlantic. In the present paper a new species Bathypsammis polaris sp. n. from the Antarctic Weddell Sea is described. The monophyly of Bathypsammis within the Paranannopinae Por, 1986 can be confirmed by several new autapomorphies whereas the relation to other paranannopid taxa must remain open for the moment. The new findings implicate a widespread distribution of Bathypsammis from the northern to the southern Atlantic and even to the southern polar regions. Up to now all individuals that have been found occur exclusively at deep-sea sites and in very low abundances.</t>
  </si>
  <si>
    <t>Carl von Ossietzky Univ Oldenburg, Inst Biol, AG Zoosyst &amp; Morphol, Fac 5, D-26111 Oldenburg, Germany</t>
  </si>
  <si>
    <t>Carl von Ossietzky Universitat Oldenburg</t>
  </si>
  <si>
    <t>Willen, E (corresponding author), Carl von Ossietzky Univ Oldenburg, Inst Biol, AG Zoosyst &amp; Morphol, Fac 5, D-26111 Oldenburg, Germany.</t>
  </si>
  <si>
    <t>ewillen@gmx.de</t>
  </si>
  <si>
    <t>MAGNOLIA PRESS</t>
  </si>
  <si>
    <t>AUCKLAND</t>
  </si>
  <si>
    <t>PO BOX 41383, AUCKLAND, ST LUKES 1030, NEW ZEALAND</t>
  </si>
  <si>
    <t>1175-5326</t>
  </si>
  <si>
    <t>1175-5334</t>
  </si>
  <si>
    <t>Zootaxa</t>
  </si>
  <si>
    <t>AUG 20</t>
  </si>
  <si>
    <t>Zoology</t>
  </si>
  <si>
    <t>202NF</t>
  </si>
  <si>
    <t>WOS:000248908600004</t>
  </si>
  <si>
    <t>Mattiucci, S; Nascetti, G</t>
  </si>
  <si>
    <t>Mattiucci, Simonetta; Nascetti, Giuseppe</t>
  </si>
  <si>
    <t>Genetic diversity and infection levels of anisakid nematodes parasitic in fish and marine mammals from Boreal and Austral hemispheres</t>
  </si>
  <si>
    <t>VETERINARY PARASITOLOGY</t>
  </si>
  <si>
    <t>Article; Proceedings Paper</t>
  </si>
  <si>
    <t>21st International Conference of the World-Association-for-the-Advancement-of-Veterinary-Parasitology</t>
  </si>
  <si>
    <t>AUG 19-23, 2007</t>
  </si>
  <si>
    <t>Ghent, BELGIUM</t>
  </si>
  <si>
    <t>anisakid nematodes; genetic diversity; Antarctic-Austral region; Arctic-Boreal region; parasite infection; marine mammals; fish; habitat disturbance</t>
  </si>
  <si>
    <t>INTERNAL TRANSCRIBED SPACERS; SIMPLEX COMPLEX ASCARIDIDA; RIBOSOMAL DNA; PHYLOGENETIC-RELATIONSHIPS; REPRODUCTIVE ISOLATION; CONTRACAECUM-RADIATUM; SPECIES NEMATODA; ASCARIDOIDEA; PSEUDOTERRANOVA; IDENTIFICATION</t>
  </si>
  <si>
    <t>Anisakid nematodes have complex life-cycles that include invertebrate and vertebrate hosts at various levels of the marine food chain. Different types of habitat disturbances of the marine ecosystem (pollution, overfishing, by-catch) could impoverish the host population size, resulting in concomitant and detrimental effects on parasitic nematode populations. This in turn would lead to the loss of genetic diversity of these parasites at both the species and population levels. In order to test for a correlation existing between the genetic diversity of anisakid nematodes and habitat disturbance, the genetic variability, estimated by nuclear markers (19 allozyme loci), was evaluated among several anisakid populations from fish and marine mammals in various areas of the Boreal and Austral regions. Antarctic and sub-antarctic populations showed significantly (P &lt; 0.001) higher levels of genetic diversity (on average, He = 0.23) than those from the Arctic and sub-Arctic populations and species (on average, He = 0.07). Correlations between the decree of genetic variability and the levels of parasitic infections within their hosts were considered. Data revealed higher intensities in anisakid infections in Antarctic and sub-Antarctic hosts, presumably resulting from a lower degree of habitat disturbance in less stressed areas. The absence of disturbance presumably allowed anisakid species to reach a larger population size, with a reduced probability of genetic drift in their gene pools. This suggests that anisakid nematodes, and their levels of genetic diversity may be suitable indicators of the integrity of marine food webs and of the general biodiversity of a marine ecosystem. (c) 2007 Elsevier B.V.. All rights reserved.</t>
  </si>
  <si>
    <t>Univ Roma La Sapienza, Dept Publ Hlth Sci, Sect Parasitol, I-00185 Rome, Italy; Univ Tuscia, Dept Ecol &amp; Econ Sustainable Dev, Sect Ecol, I-01100 Viterbo, Italy</t>
  </si>
  <si>
    <t>Sapienza University Rome; Tuscia University</t>
  </si>
  <si>
    <t>Mattiucci, S (corresponding author), Univ Roma La Sapienza, Dept Publ Hlth Sci, Sect Parasitol, Piazzale Aldo Moro 5, I-00185 Rome, Italy.</t>
  </si>
  <si>
    <t>simonetta.mattiucci@uniroma1.it</t>
  </si>
  <si>
    <t>Mattiucci, Simonetta/K-5285-2018; Nascetti, Giuseppe/AAA-6396-2020</t>
  </si>
  <si>
    <t>Nascetti, Giuseppe/0000-0002-1159-8103</t>
  </si>
  <si>
    <t>0304-4017</t>
  </si>
  <si>
    <t>1873-2550</t>
  </si>
  <si>
    <t>VET PARASITOL</t>
  </si>
  <si>
    <t>Vet. Parasitol.</t>
  </si>
  <si>
    <t>AUG 19</t>
  </si>
  <si>
    <t>SI</t>
  </si>
  <si>
    <t>10.1016/j.vetpar.2007.05.009</t>
  </si>
  <si>
    <t>Parasitology; Veterinary Sciences</t>
  </si>
  <si>
    <t>Science Citation Index Expanded (SCI-EXPANDED); Conference Proceedings Citation Index - Science (CPCI-S)</t>
  </si>
  <si>
    <t>196EP</t>
  </si>
  <si>
    <t>WOS:000248464800006</t>
  </si>
  <si>
    <t>McNeil, BI; Metzl, N; Key, RM; Matear, RJ; Corbiere, A</t>
  </si>
  <si>
    <t>McNeil, Ben I.; Metzl, Nicolas; Key, Robert M.; Matear, Richard J.; Corbiere, Antoine</t>
  </si>
  <si>
    <t>An empirical estimate of the Southern Ocean air-sea CO2 flux</t>
  </si>
  <si>
    <t>TOTAL INORGANIC CARBON; POLAR FRONTAL ZONES; DISSOCIATION-CONSTANTS; ANTHROPOGENIC CO2; ACID; SEAWATER; TEMPERATURE; WATER; EXPORT; CYCLE</t>
  </si>
  <si>
    <t>Despite improvements in our understanding of the Southern Ocean air-sea flux of CO2, discrepancies still exist between a variety of differing ocean/atmosphere methodologies. Here we employ an independent method to estimate the Southern Ocean air-sea flux of CO2 that exploits all available surface ocean measurements for dissolved inorganic carbon ( DIC) and total alkalinity ( ALK) beyond 1986. The DIC concentrations were normalized to the year 1995 using coinciding CFC measurements in order to account for the anthropogenic CO2 signal. We show that independent of season, surface-normalized DIC and ALK can be empirically predicted to within similar to 8 mu mol/kg using standard hydrographic properties. The predictive equations were used in conjunction with World Ocean Atlas ( 2001) climatologies to give a first estimate of the annual cycle of DIC and ALK in the surface Southern Ocean. These seasonal distributions will be very useful in both validating biogeochemistry in general circulation models and for use in situ biological studies within the Southern Ocean. Using optimal CO2 dissociation constants, we then estimate an annual cycle of pCO(2) and associated net air-sea CO2 flux. Including the effects of sea ice, we estimate a Southern Ocean (&gt; 50 degrees S) CO2 sink of 0.4 +/- 0.25 Pg C/yr. Our analysis also indicates a substantial CO2 sink of 1.1 +/- 0.6 Pg C/yr within the sub-Antarctic zone ( 40 degrees S - 50 degrees S), associated with strong cooling and high winds. Our results imply the Southern Ocean CO2 flux south of 50 degrees S to be very similar to those found by Takahashi et al. ( 2002), but on the higher end of a range of atmospheric/oceanic CO2 inversion methodologies. This paper estimates for the first time basic seasonal carbon cycle parameters within the circumpolar Southern Ocean, which have up to now been extremely difficult to measure and sparse. The application of such an empirical technique using more widely available hydrographic parameters in the Southern Ocean provides an important independent estimate to not only CO2 uptake, but also for other future biogeochemical studies. Refining and testing these empirical methods with new carbon measurements will be important to further reduce uncertainties and extend our understanding of Southern Ocean CO2 dynamics.</t>
  </si>
  <si>
    <t>Univ Paris 06, CNRS, UMR 7159, Inst Pierre Simon Laplace,LOCEAN IPSL, F-75252 Paris 5, France; Princeton Univ, Dept Geosci, Program Atmospher &amp; Ocean Sci, Princeton, NJ 08544 USA; CSIRO, Div Marine Res, Hobart, Tas 7001, Australia; Univ New S Wales, Sch Math, Climate Change Res Ctr, Sydney, NSW 2052, Australia</t>
  </si>
  <si>
    <t>Sorbonne Universite; Centre National de la Recherche Scientifique (CNRS); CNRS - National Institute for Earth Sciences &amp; Astronomy (INSU); Universite Paris Saclay; Museum National d'Histoire Naturelle (MNHN); Universite Paris Cite; Princeton University; National Oceanic Atmospheric Admin (NOAA) - USA; Commonwealth Scientific &amp; Industrial Research Organisation (CSIRO); University of New South Wales Sydney</t>
  </si>
  <si>
    <t>McNeil, BI (corresponding author), Univ Paris 06, CNRS, UMR 7159, Inst Pierre Simon Laplace,LOCEAN IPSL, Case 100,4 Pl Jussieu, F-75252 Paris 5, France.</t>
  </si>
  <si>
    <t>b.mcneil@unsw.edu.au; metzl@ccr.jussieu.fr; key@princeton.edu; richard.matear@csiro.au; corbiere@ccr.jussieu.fr</t>
  </si>
  <si>
    <t>; matear, richard/C-5133-2011</t>
  </si>
  <si>
    <t>McNeil, Ben/0000-0001-5765-7087; matear, richard/0000-0002-3225-0800; metzl, nicolas/0000-0002-1165-1074</t>
  </si>
  <si>
    <t>1944-9224</t>
  </si>
  <si>
    <t>AUG 18</t>
  </si>
  <si>
    <t>GB3011</t>
  </si>
  <si>
    <t>10.1029/2007GB002991</t>
  </si>
  <si>
    <t>202JG</t>
  </si>
  <si>
    <t>WOS:000248897200001</t>
  </si>
  <si>
    <t>Chapman, WL; Walsh, JE</t>
  </si>
  <si>
    <t>Chapman, William L.; Walsh, John E.</t>
  </si>
  <si>
    <t>A synthesis of Antarctic temperatures</t>
  </si>
  <si>
    <t>JOURNAL OF CLIMATE</t>
  </si>
  <si>
    <t>CLIMATE-CHANGE; AIR-TEMPERATURE; SEA-ICE; SURFACE-TEMPERATURE; TRENDS; PENINSULA; VARIABILITY</t>
  </si>
  <si>
    <t>Monthly surface air temperatures from land surface stations, automatic weather stations, and ship/ buoy observations from the high- latitude Southern Hemisphere are synthesized into gridded analyses at a resolution appropriate for applications ranging from spatial trend analyses to climate change impact assessments. Correlation length scales are used to enhance information content while limiting the spatial extent of influence of the sparse data in the Antarctic region. The correlation length scales are generally largest in summer and over the Antarctic continent, while they are shortest over the winter sea ice. Gridded analyses of temperature anomalies, limited to regions within a correlation length scale of at least one observation, are constructed and validated against observed temperature anomalies in single- station- out experiments. Trends calculated for the 1958 - 2002 period suggest modest warming over much of the 60 - 90 S domain. All seasons show warming, with winter trends being the largest at + 0.172 degrees C decade 1 while summer warming rates are only +0.045 degrees C decade(-1). The 45-yr temperature trend for the annual means is +0.082 degrees C decade(-1) corresponding to a +0.371 degrees C temperature change over the 1958 - 2002 period of record. Trends computed using these analyses show considerable sensitivity to start and end dates, with trends calculated using start dates prior to 1965 showing overall warming, while those using start dates from 1966 to 1982 show net cooling over the region. Because of the large interannual variability of temperatures over the continental Antarctic, most of the continental trends are not statistically significant. However, the statistically significant warming over the Antarctic Peninsula is the strongest and most seasonally robust in the spatial patterns of temperature change. Composite ( 11- model) global climate model ( GCM) simulations for 1958 - 2002 with forcing from historic aerosol and greenhouse gas concentrations show warming patterns and magnitudes similar to the corresponding observed trends for the 45- yr period. GCM projections for the rest of the twenty- first century, however, discontinue the pattern of strongest warming over the Antarctic Peninsula, but instead show the strongest warming over the Antarctic continent.</t>
  </si>
  <si>
    <t>Univ Illinois, Dept Atmospher Sci, Urbana, IL 61801 USA</t>
  </si>
  <si>
    <t>University of Illinois System; University of Illinois Urbana-Champaign</t>
  </si>
  <si>
    <t>Chapman, WL (corresponding author), 105 S Gregory Ave, Urbana, IL 61801 USA.</t>
  </si>
  <si>
    <t>chapman@atmos.uiuc.edu</t>
  </si>
  <si>
    <t>Walsh, John/GQI-2785-2022</t>
  </si>
  <si>
    <t>Walsh, John/0000-0002-2510-8734; Walsh, John/0000-0001-9541-5927</t>
  </si>
  <si>
    <t>AMER METEOROLOGICAL SOC</t>
  </si>
  <si>
    <t>BOSTON</t>
  </si>
  <si>
    <t>45 BEACON ST, BOSTON, MA 02108-3693 USA</t>
  </si>
  <si>
    <t>0894-8755</t>
  </si>
  <si>
    <t>1520-0442</t>
  </si>
  <si>
    <t>J CLIMATE</t>
  </si>
  <si>
    <t>J. Clim.</t>
  </si>
  <si>
    <t>AUG 17</t>
  </si>
  <si>
    <t>10.1175/JCLI4236.1</t>
  </si>
  <si>
    <t>201PS</t>
  </si>
  <si>
    <t>hybrid</t>
  </si>
  <si>
    <t>WOS:000248845700002</t>
  </si>
  <si>
    <t>Parés, JM; Hassold, NJC; Rea, DK; Van der Pluijm, BA</t>
  </si>
  <si>
    <t>Pares, J. M.; Hassold, N. J. C.; Rea, D. K.; Van der Pluijm, B. A.</t>
  </si>
  <si>
    <t>Paleocurrent directions from paleomagnetic reorientation of magnetic fabrics in deep-sea sediments at the Antarctic Peninsula Pacific margin (ODP Sites 1095, 1101)</t>
  </si>
  <si>
    <t>MARINE GEOLOGY</t>
  </si>
  <si>
    <t>Antartica Pacific margin; magnetic anisotropy; ODP; paleocurrent</t>
  </si>
  <si>
    <t>SUSCEPTIBILITY; ANISOTROPY; STRAIN; SIZE; INDICATORS; ALIGNMENT; MUDROCKS; VELOCITY; REGIME; VALLEY</t>
  </si>
  <si>
    <t>We have determined the azimuth of bottom-current flow in drift deposit sediments recovered at ODP Sites 1095 and 1101, Antarctic Peninsula, using paleomagnetic reorientation of anisotropy of magnetic susceptibility (AMS) ellipsoids. A total of 38 cores from the two ODP sites have been measured, providing spatial and directional information on the physical record of the ACC (Antarctic Circumpolar Current) in the Plio-Pleistocene. Declination and inclination of the paleomagnetic vector of each core segment were used to reorient the AMS principal axes to the geographic coordinates. The cores were reoriented using the measured direction of the characteristic remanent magnetization (ChRM) with respect to a common reference line for the core, from which we are able to determine the orientation of the paleocurrent flow for Sites 1095 (Drift 7) and 1101 (Drift 4) relative to the geographic coordinates. Both sites have paleocurrent directions trending similar to NW similar to SE, which in the former locality are parallel to a sediment wave field. Our study shows that a combination of magnetic fabric analysis and paleomagnetism allows deep-sea sedimentary fabric to be used as a long-term proxy of bottom-current flow history. (c) 2007 Elsevier B.V All rights reserved.</t>
  </si>
  <si>
    <t>Univ Michigan, Dept Geol Sci, Ann Arbor, MI 48109 USA</t>
  </si>
  <si>
    <t>University of Michigan System; University of Michigan</t>
  </si>
  <si>
    <t>Parés, JM (corresponding author), Univ Michigan, Dept Geol Sci, 1006 CC Little Bldg, Ann Arbor, MI 48109 USA.</t>
  </si>
  <si>
    <t>jmpares@umich.edu</t>
  </si>
  <si>
    <t>van der Pluijm, Ben/M-3155-2019; Pares, Josep M./K-9299-2014</t>
  </si>
  <si>
    <t>van der Pluijm, Ben/0000-0001-7737-2791;</t>
  </si>
  <si>
    <t>ELSEVIER SCIENCE BV</t>
  </si>
  <si>
    <t>PO BOX 211, 1000 AE AMSTERDAM, NETHERLANDS</t>
  </si>
  <si>
    <t>0025-3227</t>
  </si>
  <si>
    <t>MAR GEOL</t>
  </si>
  <si>
    <t>Mar. Geol.</t>
  </si>
  <si>
    <t>10.1016/j.margeo.2007.04.002</t>
  </si>
  <si>
    <t>Geosciences, Multidisciplinary; Oceanography</t>
  </si>
  <si>
    <t>Geology; Oceanography</t>
  </si>
  <si>
    <t>203NT</t>
  </si>
  <si>
    <t>WOS:000248982000004</t>
  </si>
  <si>
    <t>Beaudoin, Y; Scott, SD; Gorton, MP; Zajacz, Z; Halter, W</t>
  </si>
  <si>
    <t>Beaudoin, Yannick; Scott, Steven D.; Gorton, Michael P.; Zajacz, Zoltan; Halter, Werner</t>
  </si>
  <si>
    <t>Pb and other ore metals in modem seafloor tectonic environments: Evidence from melt inclusions</t>
  </si>
  <si>
    <t>pb; melt inclusions; LA-ICP-MS; back-arcs; mid-ocean ridges; searnounts</t>
  </si>
  <si>
    <t>MID-ATLANTIC RIDGE; GARRETT TRANSFORM-FAULT; ABLATION ICP-MS; PACIFIC-ANTARCTIC RIDGE; TAG HYDROTHERMAL FIELD; CENTRAL OKINAWA TROUGH; EASTERN MANUS BASIN; BACK-ARC BASIN; BRANSFIELD STRAIT; MASSIVE SULFIDES</t>
  </si>
  <si>
    <t>Many modem seafloor tectonic environments are host to hydrothermal systems and associated polymetallic sulfide deposits. Metal transport and precipitation are controlled by magmatic processes such as pre-eruptive degassing and the hydrothermal cycle. The original availability of Pb and other ore metals in a given setting is dependent on concentrations in the original magmatic source or additional enrichment processes. We have examined the Pb budget of melt inclusions from nine modem seafloor settings representing back-arcs, mid-ocean ridges and seamounts. Melt inclusions provide information on the characteristics of parental magmas, including insights into metal budgets. Trace element data in melt inclusions hosted in plagioclase, olivine and pyroxene were obtained by laser-ablation inductively-coupled mass-spectrometry. Results from back-arcs emphasize the impact of slab-subduction and dehydration processes on the chemical characteristics of generated magmas. Volatile- and fluid-mobile element-rich melt inclusions at Manus basin and Okinawa trough reflect a robust contribution of elements from the subducting slab as evidenced by relatively low Ce/Pb ratios. At Bransfield strait, on the other hand, melt inclusions are volatile poor, and fluid-mobile element ratios are similar to mid-ocean ridge values indicating little or no contribution from the slab. High Cu concentrations at Manus basin and Okinawa trough can be explained by fluxing of ferric iron from the subducting slab benefiting the production of sulfate over sulfide. Metal budgets for seamounts located on and nearby the axis of mid-ocean ridge segments appear to be independent of any input of mantle plume material. Results from the southern Explorer ridge (strong lower mantle influence, transitional- and enriched-MORBs), Pito and Axial seamounts (moderate lower mantle influence, transitional-MORBs) and a Foundation near-ridge seamount (little to no mantle influence, normal-MORB) show that, despite similar tectonic environments and varying contributions of mantle plume material, Cu, Zn and Ph values do not vary significantly between the enriched and non-enriched magma components of a given setting. (c) 2007 Elsevier BY All rights reserved.</t>
  </si>
  <si>
    <t>UNEP, GRID Arendal, N-4836 Arendal, Norway; Univ Toronto, Dept Geol, Scotiabank Marine Geol Res Lab, Toronto, ON M5S 3B1, Canada; ETH Zentrum NO, Swiss Fed Inst Technol, Dept Earth Sci, CH-8092 Zurich, Switzerland</t>
  </si>
  <si>
    <t>University of Toronto; Swiss Federal Institutes of Technology Domain; ETH Zurich</t>
  </si>
  <si>
    <t>Beaudoin, Y (corresponding author), UNEP, GRID Arendal, Teaterplassen 3, N-4836 Arendal, Norway.</t>
  </si>
  <si>
    <t>yannick.beaudoin@grida.no</t>
  </si>
  <si>
    <t>Zajacz, Zoltan/B-9469-2019</t>
  </si>
  <si>
    <t>Zajacz, Zoltan/0000-0001-6528-7717</t>
  </si>
  <si>
    <t>1872-6151</t>
  </si>
  <si>
    <t>10.1016/j.margeo.2007.04.004</t>
  </si>
  <si>
    <t>WOS:000248982000005</t>
  </si>
  <si>
    <t>Church, JA</t>
  </si>
  <si>
    <t>Church, John A.</t>
  </si>
  <si>
    <t>A change in circulation?</t>
  </si>
  <si>
    <t>Editorial Material</t>
  </si>
  <si>
    <t>MERIDIONAL OVERTURNING CIRCULATION; ATLANTIC; MOC</t>
  </si>
  <si>
    <t>CSIRO, Marine &amp; Atmospher Res &amp; Antarctic Climate &amp; Ecos, Hobart, Tas 7001, Australia</t>
  </si>
  <si>
    <t>Commonwealth Scientific &amp; Industrial Research Organisation (CSIRO)</t>
  </si>
  <si>
    <t>Church, JA (corresponding author), CSIRO, Marine &amp; Atmospher Res &amp; Antarctic Climate &amp; Ecos, GPO Box 1538, Hobart, Tas 7001, Australia.</t>
  </si>
  <si>
    <t>john.church@csiro.au</t>
  </si>
  <si>
    <t>Church, John A/A-1541-2012</t>
  </si>
  <si>
    <t>Church, John A/0000-0002-7037-8194</t>
  </si>
  <si>
    <t>1095-9203</t>
  </si>
  <si>
    <t>10.1126/science.1147796</t>
  </si>
  <si>
    <t>200RJ</t>
  </si>
  <si>
    <t>WOS:000248780200028</t>
  </si>
  <si>
    <t>Stajner, I; Benson, C; Liu, HC; Pawson, S; Brubaker, N; Chang, LP; Riishojgaard, LP; Todling, R</t>
  </si>
  <si>
    <t>Stajner, Ivanka; Benson, Craig; Liu, Hui-Chun; Pawson, Steven; Brubaker, Nicole; Chang, Lang-Ping; Riishojgaard, Lars Peter; Todling, Ricardo</t>
  </si>
  <si>
    <t>Ice polar stratospheric clouds detected from assimilation of Atmospheric Infrared Sounder data</t>
  </si>
  <si>
    <t>OZONE DEPLETION; WINTER; WAVES</t>
  </si>
  <si>
    <t>A novel technique is presented for the detection and mapping of ice polar stratospheric clouds ( PSCs), using brightness temperatures from the Atmospheric Infrared Sounder ( AIRS) moisture'' channel near 6.79 mu m. It is based on observed-minus-forecast residuals ( O-Fs) computed when using AIRS radiances in the Goddard Earth Observing System version 5 ( GEOS-5) data assimilation system. Brightness temperatures are computed from six-hour GEOS-5 forecasts using a radiation transfer module under clear-sky conditions, meaning they will be too high when ice PSCs are present. We study whether the O-Fs contain quantitative information about PSCs by comparison with sparse data from the Polar Ozone and Aerosol Measurement ( POAM) III solar occultation instrument. AIRS O-Fs lower than -2 K generally coincide with PSCs observed by POAM III. Synoptic maps of AIRS O-Fs lower than -2 K are constructed as a proxy for ice PSCs. These are used to investigate spatio-temporal variations of Antarctic PSCs in the year 2004.</t>
  </si>
  <si>
    <t>Sci Applicat Int Corp, Beltsville, MD USA; NASA, Goddard Space Flight Ctr, Global Modeling &amp; Assimilat Off, Greenbelt, MD 20771 USA; Univ Maryland Baltimore Cty, Goddard Earth Sci &amp; Technol Ctr, Baltimore, MD 21228 USA</t>
  </si>
  <si>
    <t>Science Applications International Corporation (SAIC); National Aeronautics &amp; Space Administration (NASA); NASA Goddard Space Flight Center; University System of Maryland; University of Maryland Baltimore County; National Aeronautics &amp; Space Administration (NASA); NASA Goddard Space Flight Center</t>
  </si>
  <si>
    <t>Stajner, I (corresponding author), Sci Applicat Int Corp, Beltsville, MD USA.</t>
  </si>
  <si>
    <t>Stajner, Ivanka/B-5228-2009; Pawson, Steven/I-1865-2014</t>
  </si>
  <si>
    <t>Stajner, Ivanka/0000-0001-6103-3939; Pawson, Steven/0000-0003-0200-717X</t>
  </si>
  <si>
    <t>AUG 16</t>
  </si>
  <si>
    <t>L16802</t>
  </si>
  <si>
    <t>10.1029/2007GL029415</t>
  </si>
  <si>
    <t>202IZ</t>
  </si>
  <si>
    <t>WOS:000248896500001</t>
  </si>
  <si>
    <t>Di Bello, D; Vaccaro, E; Longo, V; Regoli, F; Nigro, M; Benedetti, M; Gervasi, PG; Pretti, C</t>
  </si>
  <si>
    <t>Di Bello, Domenica; Vaccaro, Emilia; Longo, Vincenzo; Regoli, Francesco; Nigro, Marco; Benedetti, Maura; Gervasi, Pier Giovanni; Pretti, Carlo</t>
  </si>
  <si>
    <t>Presence and inducibility by β-naphthoflavone of CYP1A1, CYP1B1 and phase II enzymes in Trematomus bernacchii, an Antarctic</t>
  </si>
  <si>
    <t>AQUATIC TOXICOLOGY</t>
  </si>
  <si>
    <t>beta-naphthoflavone; CYP1A1; CYP131; UDP-GT; GST; DT-diaphorase; Trematomus bernacchii; Antarctic fish</t>
  </si>
  <si>
    <t>TROUT ONCORHYNCHUS-MYKISS; BASS DICENTRARCHUS-LABRAX; GLUTATHIONE S-TRANSFERASES; ARYL-HYDROCARBON RECEPTOR; RAINBOW-TROUT; BIOTRANSFORMATION ENZYMES; STENOTOMUS-CHRYSOPS; ADAMUSSIUM-COLBECKI; OXIDATIVE STRESS; SENSITIVE ASSAY</t>
  </si>
  <si>
    <t>This study investigated some aspects of xenobiotic metabolism in the Nototheniidae Trematomus bernacchii, a key sentinel species for monitoring Antarctic ecosystems. After laboratory exposure to beta-naphthoflavone (beta NF), basal levels and time-course induction of CYP1A, CYP1B and CYP3A were measured as enzymatic activities, immunoreactive protein content and mRNA expression in liver, gills, intestine and heart. Additional analyses in the liver included enzymatic activities of testosterone hydroxylase, (omega)- and (omega - 1)-lauric acid hydroxylase and some phase II enzymes related to the AhR battery genes, DT-diaphorase, glutathione S-transferases and UDP-glucuronyl transferases. Responsiveness of hepatic CYP1A1 after exposure to PNF demonstrated an higher sensitivity of MEROD than EROD activity and long lasting expression of mRNA still induced after 20 days from the treatment. Testosterone metabolism, oxidation of lauric acid and activities of phase II enzymes were not affected by PNF indicating that their modulation is not mediated by Ah receptor. Induction of CYP1A was more limited in gills and absent in intestine and heart. The first nucleotide sequence for CYP1B1 in an Antarctic fish has been obtained, revealing a homology of 89% and 72% respectively to CYP1B1 of plaice and CYP1B2 of carp. Constitutive expression of CYP1B1 was restricted to gills where it was also induced by beta NE Obtained results represent an additional contribution to the ecotoxicological characterization of T bernacchii and further support the use of biomarkers for early detection of chemical pollution in Antarctica. (c) 2007 Elsevier B.V. All rights reserved.</t>
  </si>
  <si>
    <t>Univ Pisa, Dipartimento Patol Anim Profilassi &amp; Igiene Alime, I-56124 Pisa, Italy; CNR, Area Ric, Ist Fisiol Clin, I-56100 Pisa, Italy; Univ Politecn Marche, Ist Biol &amp; Genet, Ancona, Italy; Univ Pisa, Dipartimento Morfol Umana &amp; Biol Applicata, I-56100 Pisa, Italy</t>
  </si>
  <si>
    <t>University of Pisa; Consiglio Nazionale delle Ricerche (CNR); Marche Polytechnic University; University of Pisa</t>
  </si>
  <si>
    <t>Pretti, C (corresponding author), Univ Pisa, Dipartimento Patol Anim Profilassi &amp; Igiene Alime, Viale Piagge 2, I-56124 Pisa, Italy.</t>
  </si>
  <si>
    <t>cpretti@vet.unipi.it</t>
  </si>
  <si>
    <t>Benedetti, Maura/K-5399-2016; Pretti, Carlo/K-5948-2017; Longo, Vincenzo/K-3695-2018; Regoli, Francesco/K-2719-2018</t>
  </si>
  <si>
    <t>Benedetti, Maura/0000-0003-0803-3846; Pretti, Carlo/0000-0003-4949-2088; Longo, Vincenzo/0000-0001-8972-8564; Regoli, Francesco/0000-0001-6084-6188</t>
  </si>
  <si>
    <t>0166-445X</t>
  </si>
  <si>
    <t>1879-1514</t>
  </si>
  <si>
    <t>AQUAT TOXICOL</t>
  </si>
  <si>
    <t>Aquat. Toxicol.</t>
  </si>
  <si>
    <t>AUG 15</t>
  </si>
  <si>
    <t>10.1016/j.aquatox.2007.05.010</t>
  </si>
  <si>
    <t>Marine &amp; Freshwater Biology; Toxicology</t>
  </si>
  <si>
    <t>206ED</t>
  </si>
  <si>
    <t>WOS:000249165800003</t>
  </si>
  <si>
    <t>Krolikowska-Ciaglo, S; Deyhle, A; Hauff, F; Hoernle, K</t>
  </si>
  <si>
    <t>Krolikowska-Ciaglo, Sylwia; Deyhle, Annette; Hauff, Folkmar; Hoernle, Kaj</t>
  </si>
  <si>
    <t>Boron isotope geochemistry and U-Pb systematics of altered MORB from the Australian Antarctic Discordance (ODP Leg 187)</t>
  </si>
  <si>
    <t>CHEMICAL GEOLOGY</t>
  </si>
  <si>
    <t>B contents and isotopes; U-Pb contents and isotopes; major elements; low temperature alteration of ocean crust; Australian Antarctic Discordance; ODP Leg 187</t>
  </si>
  <si>
    <t>UPPER OCEANIC-CRUST; TEMPERATURE; FLUID; FRACTIONATION; MINERALOGY; BOUNDARY; BASALTS; BENEATH; ORIGIN; DSDP</t>
  </si>
  <si>
    <t>Boron and Pb isotopic compositions together with B-U-Th-Pb concentrations were determined for Pacific and Indian mantle-type mid-ocean ridge basalts (MORB) obtained from shallow drill holes near the Australian Antarctic Discordance (AAD). Boron contents in the altered samples range from 29.7 to 69.6 ppm and are extremely enriched relative to fresh MORB glass with 0.4-0.6 ppm B. Similarly the delta B-11 values range from 5.5 parts per thousand to 15.9 parts per thousand in the altered basalts and require interaction with a 61113 enriched fluid similar to seawater similar to 39.5 parts per thousand and/or boron isotope fractionation during the formation of secondary clays. Positive correlations between B concentrations and other chemical indices of alteration such as H2O CO2, K2O, P2O5, U and Sr-87/Sr-86 indicate that B is progressively enriched in the basalts as they become more altered. Interestingly, 611 B shows the largest isotopic shift to + 16 parts per thousand in the least altered basalts, followed by a continual decrease to + 5-6 parts per thousand in the most altered basalts. These observations may indicate a change from an early seawater dominated fluid towards a sediment-dominated fluid as a result of an increase in sediment cover with increasing age of the seafloor. The progression from heavy 611 B towards lighter values with increasing degrees of alteration may also reflect increased formation of clay minerals (e.g., saponite). A comparison of U-238/Pb-204 and Pb-206/Pb-204 in fresh glass and variably altered basalt from Site 1160B shows extreme variations that are caused by secondary U enrichment during low temperature alteration. Modeling of the U-Pb isotope system confirms that some alteration events occurred early in the 21.5 m.y. history of these rocks, even though a significant second pulse of alteration happened at similar to 12 Ma after formation of the crust. The U-Pb systematics of co-genetic basaltic glass and variably low temperature altered basaltic whole rocks are thus a potential tool to place age constraints on the timing of alteration and fluid flow in the ocean crust. (c) 2007 Elsevier B.V. All rights reserved.</t>
  </si>
  <si>
    <t>Adam Mickiewicz Univ, Inst Geol, PL-61606 Poznan, Poland; Univ Calif San Diego, Scripps Inst Oceanog, La Jolla, CA 92093 USA; IFM, GEOMAR, Leiden Inst Marine Sci, Res Div Dynam Ocean Floor 4, D-24148 Kiel, Germany</t>
  </si>
  <si>
    <t>Adam Mickiewicz University; University of California System; University of California San Diego; Scripps Institution of Oceanography; Helmholtz Association; GEOMAR Helmholtz Center for Ocean Research Kiel</t>
  </si>
  <si>
    <t>Krolikowska-Ciaglo, S (corresponding author), Adam Mickiewicz Univ, Inst Geol, Ul Makow Polnych 16, PL-61606 Poznan, Poland.</t>
  </si>
  <si>
    <t>sciaglo@amu.edu.pl</t>
  </si>
  <si>
    <t>Hauff, Folkmar/AAG-3630-2021; Hoernle, Kaj/AAF-9500-2021</t>
  </si>
  <si>
    <t>Hauff, Folkmar/0000-0001-9503-9714;</t>
  </si>
  <si>
    <t>0009-2541</t>
  </si>
  <si>
    <t>1872-6836</t>
  </si>
  <si>
    <t>CHEM GEOL</t>
  </si>
  <si>
    <t>Chem. Geol.</t>
  </si>
  <si>
    <t>3-4</t>
  </si>
  <si>
    <t>10.1016/j.chemgeo.2007.05.004</t>
  </si>
  <si>
    <t>Geochemistry &amp; Geophysics</t>
  </si>
  <si>
    <t>203EN</t>
  </si>
  <si>
    <t>WOS:000248958000011</t>
  </si>
  <si>
    <t>Storti, F; Salvini, F; Rossetti, F; Morgan, JP</t>
  </si>
  <si>
    <t>Storti, F.; Salvini, F.; Rossetti, F.; Morgan, J. Phipps</t>
  </si>
  <si>
    <t>Intraplate termination of transform faulting within the Antarctic continent</t>
  </si>
  <si>
    <t>EARTH AND PLANETARY SCIENCE LETTERS</t>
  </si>
  <si>
    <t>Antarctica; transform fault; fracture zone; plate tectonics; intraplate deformation</t>
  </si>
  <si>
    <t>NORTHERN VICTORIA-LAND; TRANSANTARCTIC MOUNTAINS; ROSS SEA; FISSION-TRACK; PLATE EARTHQUAKE; MARCH 25; RIFT; AUSTRALIA; PACIFIC; TECTONICS</t>
  </si>
  <si>
    <t>The sector of Antarctica facing Australia east of 139 degrees E is characterized by the abundance of exceptionally long oceanic fracture zones that are collinear to post-rift right-lateral strike-slip fault systems developed at the northeastern edge of the Antarctic continent. Hi h-resolution reflection seismic profiles indicate recent strike-slip activity at the southeastern edge of the Balleny Fracture Zone, similar to what is observed onshore in North Victoria Land. The architecture, kinematics, and timing of this intraplate deformation at the northeastern edge of Antarctica cannot be reconciled with typical plate tectonic kinematics, in particular, with a classical divergent plate boundary environment. Here we show that combined geological and geophysical data in northeastern Antarctica Support the post-rift southeastward reactivation of the passive margin east of 139 degrees E along intraplate right lateral strike-slip deformation belts. These deformation belts include oceanic transform faults and their collinear oceanic fracture zone and continental shear zone extensions. A striking consequence is that there is intraplate accommodation of transforrn fault slip in this region of Earth's surface along fracture zones and a long-active region of intracontinental deformation that is 'reusing' prior plate boundary fault zones. As the intraplate termination of plate boundary transform faulting is not predicted by classical plate tectonic theory, this region is one of the most clear examples of the transition from rigid to semi-rigid plate tectonic deformation during the formation and long-lived incubation of a potential new plate boundary. (c) 2007 Elsevier B.V. All rights reserved.</t>
  </si>
  <si>
    <t>Univ Roma Tre, Dipartimento Sci Geol, Rome, Italy; Cornell Univ, Dept Earth &amp; Atmospher Sci, Ithaca, NY USA</t>
  </si>
  <si>
    <t>Roma Tre University; Cornell University</t>
  </si>
  <si>
    <t>Storti, F (corresponding author), Univ Roma Tre, Dipartimento Sci Geol, Rome, Italy.</t>
  </si>
  <si>
    <t>storti@uniroma3.it</t>
  </si>
  <si>
    <t>Storti, Fabrizio/D-9358-2017; Rossetti, Federico/C-1391-2009; Zhang, Junyuan/P-9292-2018</t>
  </si>
  <si>
    <t>Rossetti, Federico/0000-0001-8071-7252; Morgan, Jason/0000-0002-3100-0877; Storti, Fabrizio/0000-0003-2809-9471</t>
  </si>
  <si>
    <t>0012-821X</t>
  </si>
  <si>
    <t>1385-013X</t>
  </si>
  <si>
    <t>EARTH PLANET SC LETT</t>
  </si>
  <si>
    <t>Earth Planet. Sci. Lett.</t>
  </si>
  <si>
    <t>10.1016/j.epsl.2007.05.020</t>
  </si>
  <si>
    <t>202DX</t>
  </si>
  <si>
    <t>WOS:000248883300009</t>
  </si>
  <si>
    <t>Fischer, H; Fundel, F; Ruth, U; Twarloh, B; Wegner, A; Udisti, R; Becagli, S; Castellano, E; Morganti, A; Severi, M; Wolff, E; Littot, G; Röthlisberger, R; Mulvaney, R; Hutterli, MA; Kaufmann, P; Federer, U; Lambert, F; Bigler, M; Hansson, M; Jonsell, U; de Angelis, M; Boutron, C; Siggaard-Andersen, ML; Steffensen, JP; Barbante, C; Gaspari, V; Gabrielli, P; Wagenbach, D</t>
  </si>
  <si>
    <t>Fischer, Hubertus; Fundel, Felix; Ruth, Urs; Twarloh, Birthe; Wegner, Anna; Udisti, Roberto; Becagli, Silvia; Castellano, Emiliano; Morganti, Andrea; Severi, Mirko; Wolff, Eric; Littot, Genevieve; Roethlisberger, Regine; Mulvaney, Rob; Hutterli, Manuel A.; Kaufmann, Patrik; Federer, Urs; Lambert, Fabrice; Bigler, Matthias; Hansson, Margareta; Jonsell, Ulf; de Angelis, Martine; Boutron, Claude; Siggaard-Andersen, Marie-Louise; Steffensen, Jorgen Peder; Barbante, Carlo; Gaspari, Vania; Gabrielli, Paolo; Wagenbach, Dietmar</t>
  </si>
  <si>
    <t>Reconstruction of millennial changes in dust emission, transport and regional sea ice coverage using the deep EPICA ice cores from the Atlantic and Indian Ocean sector of Antarctica</t>
  </si>
  <si>
    <t>paleoclimate; ice core; Antarctica; sea salt; mineral dust</t>
  </si>
  <si>
    <t>LAST GLACIAL MAXIMUM; DRONNING MAUD-LAND; EAST ANTARCTICA; SOUTHERN-OCEAN; DOME-C; ATMOSPHERIC CO2; CLIMATE CHANGES; SALT AEROSOL; SURFACE; VOSTOK</t>
  </si>
  <si>
    <t>Continuous sea salt and mineral dust aerosol records have been studied on the two EPICA (European Project for Ice Coring in Antarctica) deep ice cores. The joint use of these records from opposite sides of the East Antarctic plateau allows for an estimate of changes in dust transport and emission intensity as well as for the identification of regional differences in the sea salt aerosol source. The mineral dust flux records at both sites show a strong coherency over the last 150 kyr related to dust emission changes in the glacial Patagonian dust source with three times higher dust fluxes in the Atlantic compared to the Indian Ocean sector of the Southern Ocean (SO). Using a simple conceptual transport model this indicates that transport can explain only 40% of the atmospheric dust concentration changes in Antarctica, while factor 5-10 changes occurred. Accordingly, the main cause for the strong glacial dust flux changes in Antarctica must lie in environmental changes in Patagonia. Dust emissions, hence environmental conditions in Patagonia, were very similar during the last two glacials and interglacials, respectively, despite 2-4 degrees C warmer temperatures recorded in Antarctica during the penultimate interglacial than today. 2-3 times higher sea salt fluxes found in both ice cores in the glacial compared to the Holocene are difficult to reconcile with a largely unchanged transport intensity and the distant open ocean source. The substantial glacial enhancements in sea salt aerosol fluxes can be readily explained assuming sea ice formation as the main sea salt aerosol source with a significantly larger expansion of (summer) sea ice in the Weddell Sea than in the Indian Ocean sector. During the penultimate interglacial, our sea salt records point to a 50% reduction of winter sea ice coverage compared to the Holocene both in the Indian and Atlantic Ocean sector of the SO. However, from 20 to 80 ka before present sea salt fluxes show only very subdued millennial changes despite pronounced temperature fluctuations, likely due to the large distance of the sea ice salt source to our drill sites. (c) 2007 Elsevier B.V. All rights reserved.</t>
  </si>
  <si>
    <t>Alfred Wegener Inst Polar &amp; Marine Res, D-27568 Bremerhaven, Germany; Univ Florence, Dept Chem, I-50019 Florence, Italy; British Antarctic Survey, Cambridge CB3 0ET, England; Univ Bern, Inst Phys, CH-3012 Bern, Switzerland; Univ Stockholm, Dept Phys Geog &amp; Quaternary Geol, S-10691 Stockholm, Sweden; UJF, CNRS, LGGE, F-38402 St Martin Dheres, France; Univ Copenhagen, Niels Bohr Inst, DK-2100 Copenhagen OE, Denmark; Univ Venice, Dept Environm Sci, I-30123 Venice, Italy; CNR, Inst Dynam Environm Proc, I-30123 Venice, Italy; Heidelberg Univ, Inst Environm Phys, D-69120 Heidelberg, Germany</t>
  </si>
  <si>
    <t>Helmholtz Association; Alfred Wegener Institute, Helmholtz Centre for Polar &amp; Marine Research; University of Florence; UK Research &amp; Innovation (UKRI); Natural Environment Research Council (NERC); NERC British Antarctic Survey; University of Bern; Stockholm University; Communaute Universite Grenoble Alpes; Universite Grenoble Alpes (UGA); Centre National de la Recherche Scientifique (CNRS); University of Copenhagen; Niels Bohr Institute; Universita Ca Foscari Venezia; Consiglio Nazionale delle Ricerche (CNR); Istituto per la Dinamica dei Processi Ambientali (IDPA-CNR); Ruprecht Karls University Heidelberg</t>
  </si>
  <si>
    <t>Fischer, H (corresponding author), Alfred Wegener Inst Polar &amp; Marine Res, Columbusstr, D-27568 Bremerhaven, Germany.</t>
  </si>
  <si>
    <t>hubertus.fischer@awi.de</t>
  </si>
  <si>
    <t>Udisti, Roberto/M-7966-2015; Bigler, Matthias/HTT-3872-2023; Lambert, Fabrice/M-2003-2014; Bishnoi, Mamta/AAQ-8346-2021; Steffensen, Jorgen Peder/JFS-7831-2023; Becagli, Silvia/GNW-2665-2022; Jonsell, Ulf/F-3116-2015; Fundel, Felix/C-5469-2009; Barbante, Carlo/B-3195-2011; Wolff, Eric W/D-7925-2014; Severi, Mirko/J-2508-2012; Mulvaney, Robert/K-3929-2012; Fischer, Hubertus/A-1211-2014</t>
  </si>
  <si>
    <t>Udisti, Roberto/0000-0003-4440-8238; Bigler, Matthias/0000-0003-0184-4013; Lambert, Fabrice/0000-0002-2192-024X; Bishnoi, Mamta/0000-0003-4987-0536; Steffensen, Jorgen Peder/0000-0002-5516-1093; Jonsell, Ulf/0000-0001-6532-8590; Wolff, Eric W/0000-0002-5914-8531; Severi, Mirko/0000-0003-1511-6762; Barbante, Carlo/0000-0003-4177-2288; Mulvaney, Robert/0000-0002-5372-8148; Fischer, Hubertus/0000-0002-2787-4221; Becagli, Silvia/0000-0003-3633-4849</t>
  </si>
  <si>
    <t>10.1016/j.epsl.2007.06.014</t>
  </si>
  <si>
    <t>WOS:000248883300025</t>
  </si>
  <si>
    <t>Giordano, D; Parrilli, E; Dettaï, A; Russo, R; Barbiero, G; Maritio, G; Lecointre, G; di Prisco, G; Tutino, L; Verde, C</t>
  </si>
  <si>
    <t>Giordano, Daniela; Parrilli, Ermenegilda; Dettai, Agnes; Russo, Roberta; Barbiero, Giulia; Maritio, Gennaro; Lecointre, Guillaume; di Prisco, Guido; Tutino, Luisa; Verde, Cinzia</t>
  </si>
  <si>
    <t>The truncated hemoglobins in the Antarctic psychrophilic bacterium Pseudoalteromonas haloplanktis TAC125</t>
  </si>
  <si>
    <t>GENE</t>
  </si>
  <si>
    <t>14th International Conference on Dioxygen Binding and Sensing Proteins</t>
  </si>
  <si>
    <t>SEP 03-07, 2006</t>
  </si>
  <si>
    <t>Naples, ITALY</t>
  </si>
  <si>
    <t>Antarctica; bacterium; genome; truncated-globin gene; cold-adaptation; evolution</t>
  </si>
  <si>
    <t>SITE-DIRECTED MUTAGENESIS; OXYGEN-AVID HEMOGLOBIN; HYDROGEN-BOND NETWORK; MYCOBACTERIUM-TUBERCULOSIS; CAMPYLOBACTER-JEJUNI; APOMYOGLOBIN; SEQUENCE; BINDING; GENOME; LIFE</t>
  </si>
  <si>
    <t>The genome sequence of the Antarctic Gram-negative marine eubacterium Pseudoalteromonas haloplanktis TAC125 is a potential source of useful data on proteins from a cold-adapted microorganism. Identifying the bases of protein adaptation to higher or lower temperatures is important to understand the relationship between structure/function and life history on the Earth. The P. haloplanktis TAC125 genome contains three genes in distinct positions on chromosome 1, named PSHAa0030, PSHAa2217 and PSHAa0458. These genes encode three truncated hemoglobins. The arnino-acid identity between the three hemoglobins is less than 25% suggesting that these proteins may have different function(s) in bacterial cellular metabolism. The hemoglobin encoded by the PSHAa0030 gene has been cloned, expressed in Escherichia coli, purified and structurally characterised. This truncated hemoglobin is monomeric; circular dichroism shows high temperature resistance. The optical spectra of oxygenated and CO forms are similar to those of other truncated hemoglobins. Phylogenetic analyses show that two truncated globins encoded by the PSHAa0030 and PSHAa2217 genes belong to group 11, and the third one encoded by PSHAa0458 to group I. 0 2007 Elsevier B.V All rights reserved.</t>
  </si>
  <si>
    <t>CNR, Inst Protein Biochem, I-80131 Naples, Italy; Univ Naples Federico 2, Dipartimento Chim Organ &amp; Biochim, Naples, Italy; Museum Natl Hist Nat, CNRS, UMR 7138, Dept Syst &amp; Evolut, F-75005 Paris, France</t>
  </si>
  <si>
    <t>Consiglio Nazionale delle Ricerche (CNR); Istituto di Biochimica delle Proteine (IBP-CNR); University of Naples Federico II; Centre National de la Recherche Scientifique (CNRS); CNRS - National Institute for Biology (INSB); Sorbonne Universite; Museum National d'Histoire Naturelle (MNHN)</t>
  </si>
  <si>
    <t>Verde, C (corresponding author), CNR, Inst Protein Biochem, Via Pietro Castellino 111, I-80131 Naples, Italy.</t>
  </si>
  <si>
    <t>c.verde@ibp.cnr.it</t>
  </si>
  <si>
    <t>parrilli, ermenegilda/K-4616-2016; parrilli, ermenegilda/JAZ-0586-2023; Dettai, Agnes/Q-6743-2019; Dettai, Agnes/E-7838-2010; Giordano, Daniela/AFK-7772-2022</t>
  </si>
  <si>
    <t>parrilli, ermenegilda/0000-0002-9002-5409; Giordano, Daniela/0000-0002-8891-6245; VERDE, Cinzia/0000-0001-6185-282X; Tutino, Maria Luisa/0000-0002-4978-6839</t>
  </si>
  <si>
    <t>0378-1119</t>
  </si>
  <si>
    <t>Gene</t>
  </si>
  <si>
    <t>10.1016/j.gene.2007.02.037</t>
  </si>
  <si>
    <t>Genetics &amp; Heredity</t>
  </si>
  <si>
    <t>Conference Proceedings Citation Index - Science (CPCI-S); Science Citation Index Expanded (SCI-EXPANDED)</t>
  </si>
  <si>
    <t>200SX</t>
  </si>
  <si>
    <t>WOS:000248784200009</t>
  </si>
  <si>
    <t>di Prisco, G; Eastman, JT; Giordano, D; Parisi, E; Verde, C</t>
  </si>
  <si>
    <t>di Prisco, Guido; Eastman, Joseph T.; Giordano, Daniela; Parisi, Elio; Verde, Cinzia</t>
  </si>
  <si>
    <t>Biogeography and adaptation of Notothenioid fish: Hemoglobin function and globin-gene evolution</t>
  </si>
  <si>
    <t>Antarctica; notothenioid; icefish; hemoglobin; root effect; globin gene; evolution</t>
  </si>
  <si>
    <t>AMINO-ACID-SEQUENCE; OXYGEN-BINDING-PROPERTIES; ANTARCTIC FISHES; PAGOTHENIA-BERNACCHII; ELEGINOPS-MACLOVINUS; SINGLE HEMOGLOBIN; DISTINCT HEMOGLOBINS; MOLECULAR EVOLUTION; TREMATOMUS-NEWNESI; CRYSTAL-STRUCTURE</t>
  </si>
  <si>
    <t>The recognition of the important role of the polar habitats in global climate changes has awakened great interest in the evolutionary biology of polar organisms. They are exposed to strong environmental constraints, and it is important to understand how they have adapted to cope with these challenges and to what extent adaptations may be upset by current climate changes. We present an introductory overview of the evolution of the Antarctic fish fauna with emphasis on the dominant perciform sub-order Notothenioidei, as well as some specific comments on the biogeography of the three phyletically basal notothenioid families. The wealth of information on the ecology and biodiversity of the species inhabiting high-Antarctic and sub-Antarctic regions provides a necessary framework for better understanding the origin, evolution and adaptation of this unique group of fish. Notothenioidei offer opportunities for identification of the biochemical characters or the physiological traits responsible for thermal adaptation. The availability of phylogenetically related taxa in a wide range of latitudes has allowed to took into the molecular bases of environmentally driven phenotypic gain and loss of function. In the process of cold adaptation, the evolutionary trend of notothenioids has produced unique specialisations, including modification of hematological characteristics, e.g. decreased amounts and multiplicity of hemoglobins. The Antarctic family Channichthyidae (the notothenioid crown group) is devoid of hemoglobin. This loss is related to a single deletional event removing all globin genes with the exception of the inactive 3' end of adult a-globin. In reviewing hemoglobin structure, function and phylogeny, the evolution of the fish Root effect is analysed in detail. Adaptation of the oxygen-tran sport system in notothenioids seems to be based on evolutionary changes involving levels of biological organisation higher than the structure of hemoglobin. (c) 2007 Elsevier B.V. All rights reserved.</t>
  </si>
  <si>
    <t>CNR, Inst Protein Biochem, I-80131 Naples, Italy; Ohio Univ, Dept Biomed Sci, Athens, OH 45702 USA</t>
  </si>
  <si>
    <t>Consiglio Nazionale delle Ricerche (CNR); Istituto di Biochimica delle Proteine (IBP-CNR); University System of Ohio; Ohio University</t>
  </si>
  <si>
    <t>Eastman, Joseph T./O-6150-2019; Giordano, Daniela/AFK-7772-2022; Eastman, Joseph T/A-9786-2008</t>
  </si>
  <si>
    <t>Eastman, Joseph T./0000-0003-3868-261X; Giordano, Daniela/0000-0002-8891-6245; VERDE, Cinzia/0000-0001-6185-282X</t>
  </si>
  <si>
    <t>1879-0038</t>
  </si>
  <si>
    <t>10.1016/j.gene.2007.02.047</t>
  </si>
  <si>
    <t>WOS:000248784200017</t>
  </si>
  <si>
    <t>Liu, QH; Kazumori, M; Han, Y; Weng, FZ</t>
  </si>
  <si>
    <t>Liu, Quanhua; Kazumori, Masahiro; Han, Yong; Weng, Fuzhong</t>
  </si>
  <si>
    <t>Calculating Antarctic stratospheric temperature from Special Sensor Microwave Imager and Sounder</t>
  </si>
  <si>
    <t>ULTRAVIOLET-RADIATION; OZONE DEPLETION; HEIGHT</t>
  </si>
  <si>
    <t>This study demonstrates that the upper-atmosphere air sounding channels of the Special Sensor Microwave Imager and Sounder (SSMIS) can be used to estimate the stratospheric temperature. The constant viewing angle of the conical scanning sensor enables us to qualitatively analyze the stratospheric temperature without performing any retrieval or radiance assimilation. A snapshot of the SSMIS multi-channel brightness temperatures realistically characterizes the Antarctic stratospheric temperature, a key contributing factor to photochemical ozone depletion. Using a linear regression technique, we show that retrieved stratospheric temperatures are consistent with those from radiosondes. Finally, the direct SSMIS radiance assimilation within the National Center for Environmental Prediction (NCEP) Gridpoint Statistical Interpolation system improves the analysis of stratospheric temperatures.</t>
  </si>
  <si>
    <t>Joint Ctr Satellite Data Assimilat, Camp Springs, MD 20746 USA; NOAA, Natl Ctr Environm Predict, Environm Modeling Ctr, Camp Springs, MD 20746 USA; NOAA, Natl Environm Satellite Data &amp; Informat Serv, Off Res &amp; Applicat, Camp Springs, MD 20746 USA; QSS Grp Inc, Camp Springs, MD USA</t>
  </si>
  <si>
    <t>National Oceanic Atmospheric Admin (NOAA) - USA; National Oceanic Atmospheric Admin (NOAA) - USA; National Oceanic Atmospheric Admin (NOAA) - USA</t>
  </si>
  <si>
    <t>Liu, QH (corresponding author), Joint Ctr Satellite Data Assimilat, 5200 Auth Rd,Room 7042, Camp Springs, MD 20746 USA.</t>
  </si>
  <si>
    <t>quanhua.liu@noaa.gov</t>
  </si>
  <si>
    <t>Kazumori, Masahiro/C-5984-2017; Han, Yong/F-5590-2010; han, yang/GRS-2388-2022; Liu, Quanhua/B-6608-2008; Weng, Fuzhong/F-5633-2010</t>
  </si>
  <si>
    <t>Kazumori, Masahiro/0000-0002-2037-3563; Han, Yong/0000-0002-0183-7270; Liu, Quanhua/0000-0002-3616-351X; Weng, Fuzhong/0000-0003-0150-2179</t>
  </si>
  <si>
    <t>L15812</t>
  </si>
  <si>
    <t>10.1029/2007GL030646</t>
  </si>
  <si>
    <t>202IX</t>
  </si>
  <si>
    <t>WOS:000248896300007</t>
  </si>
  <si>
    <t>Kabat, AP; Phillips, RA; Croxall, JP; Butler, PJ</t>
  </si>
  <si>
    <t>Kabat, Alexander P.; Phillips, Richard A.; Croxall, John P.; Butler, Patrick J.</t>
  </si>
  <si>
    <t>Differences in metabolic costs of terrestrial mobility in two closely related species of albatross</t>
  </si>
  <si>
    <t>JOURNAL OF EXPERIMENTAL BIOLOGY</t>
  </si>
  <si>
    <t>thalassarche melanophrys; Thalassarche chrysostoma; cost of locomotion; metabolic rate; procellariiform; energetics; gait analysis</t>
  </si>
  <si>
    <t>OXYGEN-CONSUMPTION; NONBREEDING ALBATROSSES; DIOMEDEA-MELANOPHRIS; ENERGETIC COSTS; SOUTH GEORGIA; BIRD-ISLAND; STEP LENGTH; HEART-RATE; BODY SIZE; WALKING</t>
  </si>
  <si>
    <t>Black-browed albatrosses Thalassarche melanophrys typically colonise steeper habitats than grey-headed albatrosses T. chrysostoma. The present study investigated the effect of colony philopatry on terrestrial locomotory ability in these two species, to determine: ( 1) if there is a difference in terrestrial locomotory ability between these two closely related species, and ( 2) what physiological or behavioural adaptations may account for any differences identified. We examined the metabolic cost, mechanical efficiency on an incline, and gait characteristics of terrestrial locomotion of these two species on both level and inclined planes. T. chrysostoma were able to perform at a significantly greater speed than T. melanophrys without reaching a significantly different maximal rate of oxygen consumption ( overdot(V)(O2)). Conversely, T. melanophrys were able to move up a significantly steeper incline than T. chrysostoma while maintaining a similar maximal overdot(V)(O2). Each species demonstrates stride length, force production ( behavioural) and leg length ( morphological) adaptations that minimise the cost of traversing their chosen colonies, indicating a clear relationship between terrestrial performance and local topography. However, it is not possible to determine if the difference in locomotory ability results from differences in colony topography, or if choice of colony site is dictated by the ability of the species to traverse different terrain.</t>
  </si>
  <si>
    <t>Univ Birmingham, Sch Biosci, Ctr Ornithol, Birmingham B15 2TT, W Midlands, England; British Antarctic Survey, NERC, Cambridge CB3 0ET, England; Bird Life Intl, Cambridge CB3 0NA, England</t>
  </si>
  <si>
    <t>University of Birmingham; UK Research &amp; Innovation (UKRI); Natural Environment Research Council (NERC); NERC British Antarctic Survey; BirdLife International</t>
  </si>
  <si>
    <t>Kabat, AP (corresponding author), Univ Birmingham, Sch Biosci, Ctr Ornithol, Birmingham B15 2TT, W Midlands, England.</t>
  </si>
  <si>
    <t>Alexander.kabat@gmail.com</t>
  </si>
  <si>
    <t>COMPANY OF BIOLOGISTS LTD</t>
  </si>
  <si>
    <t>CAMBRIDGE</t>
  </si>
  <si>
    <t>BIDDER BUILDING CAMBRIDGE COMMERCIAL PARK COWLEY RD, CAMBRIDGE CB4 4DL, CAMBS, ENGLAND</t>
  </si>
  <si>
    <t>0022-0949</t>
  </si>
  <si>
    <t>J EXP BIOL</t>
  </si>
  <si>
    <t>J. Exp. Biol.</t>
  </si>
  <si>
    <t>10.1242/jeb.001230</t>
  </si>
  <si>
    <t>Biology</t>
  </si>
  <si>
    <t>Life Sciences &amp; Biomedicine - Other Topics</t>
  </si>
  <si>
    <t>211IJ</t>
  </si>
  <si>
    <t>Green Submitted, Bronze</t>
  </si>
  <si>
    <t>WOS:000249517200015</t>
  </si>
  <si>
    <t>McMurtry, GM; Tappin, DR; Sedwick, PN; Wilkinson, I; Fietzke, J; Sellwood, B</t>
  </si>
  <si>
    <t>McMurtry, Gary M.; Tappin, David R.; Sedwick, Peter N.; Wilkinson, Ian; Fietzke, Jan; Sellwood, Bruce</t>
  </si>
  <si>
    <t>Elevated marine deposits in Bermuda record a late Quaternary megatsunami</t>
  </si>
  <si>
    <t>SEDIMENTARY GEOLOGY</t>
  </si>
  <si>
    <t>bermuda; tsunami deposit; interglacial; submarine landslide</t>
  </si>
  <si>
    <t>SEA-LEVEL; MIDDLE PLEISTOCENE; ANTARCTIC ICE; WARM FUTURE; MIS 11; COLLAPSE; LANDSLIDES; ISLANDS; HISTORY; BAHAMAS</t>
  </si>
  <si>
    <t>Deposits of coral-bearing, marine shell conglomerate exposed at elevations higher than 20 m above present-day mean sea level (MSL) in Bermuda and the Bahamas have previously been interpreted as relict intertidal deposits formed during marine isotope stage (MIS) I I, ca. 360-420 ka before present. On the strength of this evidence, a sea level highstand more than 20 m higher than present-day MSL was inferred for the MIS I I interglacial, despite a lack of clear supporting evidence in the oxygen-isotope records of deep-sea sediment cores. We have critically re-examined the elevated marine deposits in Bermuda, and find their geological setting, sedimentary relations, and microfaunal assemblages to be inconsistent with intertidal deposition over an extended period. Rather, these deposits, which comprise a poorly sorted mixture of reef, lagoon and shoreline sediments, appear to have been carried tens of meters inside karst caves, presumably by large waves, at some time earlier than ca. 310-360 ka before present (MIS 9-11). We hypothesize that these deposits are the result of a large tsunami during the mid-Pleistocene, in which Bermuda was impacted by a wave set that carried sediments from the surrounding reef platform and nearshore waters over the eolianite atoll. Likely causes for such a megatsunami are the flank collapse of an Atlantic island volcano, such as the roughly synchronous Julan or Orotava submarine landslides in the Canary Islands, or a giant submarine landslide on the Atlantic continental margin. (c) 2006 Elsevier B.V. All rights reserved.</t>
  </si>
  <si>
    <t>British Geol Survey, Kingsley Dunham Ctr, Keyworth NG12 5GG, Notts, England; Univ Hawaii Manoa, Sch Ocean &amp; Earth Sci &amp; Technol, Honolulu, HI 96822 USA; Bermuda Biol Stn Res, St Georges GE01, Bermuda; IFM GEOMAR Dienstgebaude, Biogeochem Leibniz Inst Meereswissensch, D-24148 Kiel, Germany; Univ Reading, Dept Geog, Sch Human &amp; Environm Sci, Reading RG6 6AB, Berks, England</t>
  </si>
  <si>
    <t>UK Research &amp; Innovation (UKRI); Natural Environment Research Council (NERC); NERC British Geological Survey; University of Hawaii System; University of Hawaii Manoa; Helmholtz Association; GEOMAR Helmholtz Center for Ocean Research Kiel; University of Reading</t>
  </si>
  <si>
    <t>McMurtry, GM (corresponding author), British Geol Survey, Kingsley Dunham Ctr, Keyworth NG12 5GG, Notts, England.</t>
  </si>
  <si>
    <t>garym@soest.hawaii.edu; drta@bgs.ac.uk; psedwick@bbsr.edu; ipw@b2s.ac.uk; jfietzke@ifm-geomar.de; B.W.Sellwood@reading.ac.uk</t>
  </si>
  <si>
    <t>Tappin, David/H-7010-2013</t>
  </si>
  <si>
    <t>Tappin, David/0000-0003-3186-8403; Sedwick, Peter/0000-0003-0663-8323; Fietzke, Jan/0000-0002-5530-7208</t>
  </si>
  <si>
    <t>0037-0738</t>
  </si>
  <si>
    <t>1879-0968</t>
  </si>
  <si>
    <t>SEDIMENT GEOL</t>
  </si>
  <si>
    <t>Sediment. Geol.</t>
  </si>
  <si>
    <t>10.1016/j.sedgeo.2006.10.009</t>
  </si>
  <si>
    <t>206LJ</t>
  </si>
  <si>
    <t>WOS:000249184600002</t>
  </si>
  <si>
    <t>Bortnik, J; Thorne, RM; Meredith, NP; Santolik, O</t>
  </si>
  <si>
    <t>Bortnik, J.; Thorne, R. M.; Meredith, N. P.; Santolik, O.</t>
  </si>
  <si>
    <t>Ray tracing of penetrating chorus and its implications for the radiation belts</t>
  </si>
  <si>
    <t>WHISTLER-MODE CHORUS; ELECTRON ACCELERATION; OUTER MAGNETOSPHERE; PROPAGATION; TIMESCALE; WAVES</t>
  </si>
  <si>
    <t>Using ray tracing and suprathermal electron distributions from CRRES, the final propagation latitudes of typical chorus rays are calculated as a function of L, MLT, AE, and initial wave normal angle. Rays initiated within a certain range of wave normals psi(P) similar to -0.8 psi(G) to -0.6 psi(G) ( where psi(G) is the Gendrin angle) propagate to very high latitudes, largely avoiding Landau damping whilst remaining roughly field-aligned for large portions of their propagation paths. The relative wave power of such penetrating chorus may increase above its initial value due to the low damping rates and magnetic field line convergence. By considering 4 representative rays with f = 0.3f(ce), and calculating the resonant energies at the edge of the loss-cone, it is shown that penetrating chorus readily interacts with electrons in the &gt; 1 MeV energy range, and may thus contribute to the previously reported relativistic electron microbursts.</t>
  </si>
  <si>
    <t>Univ Calif Los Angeles, Dept Atmospher &amp; Ocean Sci, Los Angeles, CA 90095 USA; British Antarctic Survey, NERC, Cambridge CB3 0ET, England; Charles Univ Prague, Fac Math &amp; Phys, Prague, Czech Republic; IAP ASCR, Prague, Czech Republic</t>
  </si>
  <si>
    <t>University of California System; University of California Los Angeles; UK Research &amp; Innovation (UKRI); Natural Environment Research Council (NERC); NERC British Antarctic Survey; Charles University Prague; Czech Academy of Sciences</t>
  </si>
  <si>
    <t>Bortnik, J (corresponding author), Univ Calif Los Angeles, Dept Atmospher &amp; Ocean Sci, Los Angeles, CA 90095 USA.</t>
  </si>
  <si>
    <t>Meredith, Nigel P/C-5806-2018; Santolik, Ondrej/F-7766-2014</t>
  </si>
  <si>
    <t>Santolik, Ondrej/0000-0002-4891-9273; Horne, Richard/0000-0002-0412-6407; Meredith, Nigel/0000-0001-5032-3463</t>
  </si>
  <si>
    <t>AUG 14</t>
  </si>
  <si>
    <t>L15109</t>
  </si>
  <si>
    <t>10.1029/2007GL030040</t>
  </si>
  <si>
    <t>202IW</t>
  </si>
  <si>
    <t>Green Accepted, Bronze</t>
  </si>
  <si>
    <t>WOS:000248896200001</t>
  </si>
  <si>
    <t>Bidle, KD; Lee, S; Marchant, DR; Falkowski, PG</t>
  </si>
  <si>
    <t>Bidle, Kay D.; Lee, SangHoon; Marchant, David R.; Falkowski, Paul G.</t>
  </si>
  <si>
    <t>Fossil genes and microbes in the oldest ice on Earth</t>
  </si>
  <si>
    <t>ancient ice; community DNA; metabolism metagenomic analysis; cosmic radiation</t>
  </si>
  <si>
    <t>MIOCENE GLACIER ICE; BEACON VALLEY; LAKE; DECONTAMINATION; LIFE</t>
  </si>
  <si>
    <t>Although the vast majority of ice that formed on the Antarctic continent over the past 34 million years has been lost to the oceans, pockets of ancient ice persist in the Dry Valleys of the Transantarctic Mountains. Here we report on the potential metabolic activity of microbes and the state of community DNA in ice derived from Mullins and upper Beacon Valleys. The minimum age of the former is 100 ka, whereas that of the latter is approximate to 8 Ma, making it the oldest known ice on Earth. In both samples, radiolabeled substrates were incorporated into macromolecules, and microbes grew in nutrient-enriched melt-waters, but metabolic activity and cell viability were critically compromised with age. Although a 16S rDNA-based community reconstruction suggested relatively low bacterial sequence diversity in both ice samples, metagenomic analyses of community DNA revealed many diverse orthologs to extant metabolic genes. Analyses of five ice samples, spanning the last 8 million years in this region, demonstrated an exponential decline in the average community DNA size with a half-life of approximate to 1.1 million years, thereby constraining the geological preservation of microbes in icy environments and the possible exchange of genetic material to the oceans.</t>
  </si>
  <si>
    <t>Rutgers State Univ, Inst Marine &amp; Coastal Sci, Environm Biophys &amp; Mol Ecol Program, New Brunswick, NJ 08901 USA; Rutgers State Univ, Dept Geol Sci, New Brunswick, NJ 08901 USA; Korea Ocean Res &amp; Dev Inst, Polar Res Inst, Inchon 406840, South Korea; Boston Univ, Dept Earth Sci, Boston, MA 02215 USA</t>
  </si>
  <si>
    <t>Rutgers University System; Rutgers University New Brunswick; Rutgers University System; Rutgers University New Brunswick; Korea Institute of Ocean Science &amp; Technology (KIOST); Korea Polar Research Institute (KOPRI); Boston University</t>
  </si>
  <si>
    <t>Falkowski, PG (corresponding author), Rutgers State Univ, Inst Marine &amp; Coastal Sci, Environm Biophys &amp; Mol Ecol Program, New Brunswick, NJ 08901 USA.</t>
  </si>
  <si>
    <t>falko@marine.rutgers.edu</t>
  </si>
  <si>
    <t>10.1073/pnas.0702196104</t>
  </si>
  <si>
    <t>202KE</t>
  </si>
  <si>
    <t>WOS:000248899600044</t>
  </si>
  <si>
    <t>Narcisi, B; Petit, JR; Engrand, C</t>
  </si>
  <si>
    <t>Narcisi, Biancamaria; Petit, Jean Robert; Engrand, Cecile</t>
  </si>
  <si>
    <t>First discovery of meteoritic events in deep Antarctic (EPICA-Dome C) ice cores</t>
  </si>
  <si>
    <t>EAST ANTARCTICA; COSMIC DUST; IMPACT; RECORD; MICROMETEORITES; COLLECTION; GEOCHEMISTRY</t>
  </si>
  <si>
    <t>Two distinct dust layers in the EPICA-Dome C ice core (75 degrees 06'S, 123 degrees 21'E, East Antarctic Plateau) have been shown to relate to individual meteoritic events. Particles forming these layers, investigated by electron microprobe, show peculiar textural, mineralogical and geochemical features and closely resemble extraterrestrial debris in deep-sea sediments and polar caps. Preliminary estimates of cosmic debris input at the studied layers, obtained from Coulter Counter measurements, are 4-5 orders of magnitude greater than the yearly micrometeorite flux in East Antarctic snow and ice. The cosmic events are accurately dated through glaciological models at 434 +/- 6 and 481 +/- 6 ka, respectively and are located in the core climatic stratigraphy near the Mid-Brunhes Event''. This is the first report of well-dated cosmic horizons in deep Antarctic ice cores. It significantly improves the extraterrestrial record of Antarctica and opens new correlation perspectives between long climatic records of the South polar region.</t>
  </si>
  <si>
    <t>Ctr Ric Casaccia, I-00123 Rome, Italy; CNRS, Lab Glaciol &amp; Geophys Environm, F-38402 St Martin Dheres, France; Univ Paris 11, F-91405 Orsay, France; CNRS, Ctr Spectrometrie Nucl &amp; Spectrometrie Masse, UMR8609, F-91405 Orsay, France</t>
  </si>
  <si>
    <t>Italian National Agency New Technical Energy &amp; Sustainable Economics Development; Centre National de la Recherche Scientifique (CNRS); Universite Paris Saclay; Universite Paris Saclay; Centre National de la Recherche Scientifique (CNRS); CNRS - National Institute of Nuclear and Particle Physics (IN2P3)</t>
  </si>
  <si>
    <t>Narcisi, B (corresponding author), Ctr Ric Casaccia, Via Anguillarese 301, I-00123 Rome, Italy.</t>
  </si>
  <si>
    <t>narcisi@casaccia.enea.it</t>
  </si>
  <si>
    <t>AUG 11</t>
  </si>
  <si>
    <t>L15502</t>
  </si>
  <si>
    <t>10.1029/2007GL030801</t>
  </si>
  <si>
    <t>201ZV</t>
  </si>
  <si>
    <t>WOS:000248872100006</t>
  </si>
  <si>
    <t>Bombardieri, DJ; Michael, KJ; Duldig, ML; Humble, JE</t>
  </si>
  <si>
    <t>Bombardieri, D. J.; Michael, K. J.; Duldig, M. L.; Humble, J. E.</t>
  </si>
  <si>
    <t>Relativistic proton production during the 2001 April 15 solar event</t>
  </si>
  <si>
    <t>ASTROPHYSICAL JOURNAL</t>
  </si>
  <si>
    <t>Sun : coronal mass ejections (CMEs); Sun : flares</t>
  </si>
  <si>
    <t>GROUND-LEVEL ENHANCEMENT; EJECTION CURRENT SHEET; PARTICLE-ACCELERATION; MAGNETIC-FIELD; ENERGETIC PARTICLES; SEPTEMBER 1989; FLARE; RECONNECTION; WAVES; CME</t>
  </si>
  <si>
    <t>Extreme solar processes at the Sun on 2001 April 15 accelerated protons to relativistic energies, resulting in a ground-level enhancement in cosmic rays observed at Earth. The GOES 10 spacecraft measured the proton flux directly, and ground-based observatories measured the secondary responses to higher energy protons. We have modeled the ground-level response to this event using a technique that deduces the spectrum, arrival direction, and anisotropy of the high-energy protons. To investigate the acceleration process( es), we have employed theoretical shock and stochastic acceleration spectral forms in our fits to spacecraft and neutron-monitor data. In the case of stochastic acceleration, we use two different spectral forms. The first ( model A) incorporates an idealized preacceleration step through monoenergetic injection. The second ( model B) incorporates a more realistic injection function using preacceleration by DC electric fields in a reconnecting neutral current sheet. We find that at the rise, peak, and decline phases of the event ( 14: 20, 14: 30, and 14: 45 UT, respectively), the spectrum between 120 MeV and 10 GeVis best fitted by a shock acceleration spectral form. This implies that protons were accelerated to relativistic energies either by a coronal shock or at the bow shock of the 2001 April 15 coronal mass ejection. In addition, reinvestigation of the 2000 July 14 solar event using the more realistic injection function (model B) further supports our earlier findings that MHD turbulence arising from magnetic reconnection from a dissipating neutral current sheet was important in relativistic proton production for that event.</t>
  </si>
  <si>
    <t>Univ Tasmania, Inst Antarctic &amp; So Ocean Studies, Hobart, Tas 7001, Australia; Australian Antarctic Div, Kingston, Tas 7050, Australia; Univ Tasmania, Sch Math &amp; Phys, Hobart, Tas 7001, Australia</t>
  </si>
  <si>
    <t>University of Tasmania; Australian Antarctic Division; University of Tasmania</t>
  </si>
  <si>
    <t>Bombardieri, DJ (corresponding author), Univ Tasmania, Inst Antarctic &amp; So Ocean Studies, Hobart, Tas 7001, Australia.</t>
  </si>
  <si>
    <t>Daniel.Bombardieri@aad.gov.au</t>
  </si>
  <si>
    <t>; Michael, Kelvin/J-7217-2014</t>
  </si>
  <si>
    <t>Duldig, Marcus/0000-0001-7463-8267; Michael, Kelvin/0000-0002-5427-7393; Humble, John/0000-0002-4698-1671</t>
  </si>
  <si>
    <t>UNIV CHICAGO PRESS</t>
  </si>
  <si>
    <t>CHICAGO</t>
  </si>
  <si>
    <t>1427 E 60TH ST, CHICAGO, IL 60637-2954 USA</t>
  </si>
  <si>
    <t>0004-637X</t>
  </si>
  <si>
    <t>ASTROPHYS J</t>
  </si>
  <si>
    <t>Astrophys. J.</t>
  </si>
  <si>
    <t>AUG 10</t>
  </si>
  <si>
    <t>10.1086/519514</t>
  </si>
  <si>
    <t>199DF</t>
  </si>
  <si>
    <t>WOS:000248675700063</t>
  </si>
  <si>
    <t>Khare, N; Sharma, N; Bhandari, SM; Vyas, NK</t>
  </si>
  <si>
    <t>Khare, N.; Sharma, N.; Bhandari, S. M.; Vyas, N. K.</t>
  </si>
  <si>
    <t>Utility of OCEANSAT-1 OCM data in deciphering antarctic features</t>
  </si>
  <si>
    <t>SEA-ICE; SNOW</t>
  </si>
  <si>
    <t>Natl Ctr Antarctic &amp; Ocean Res, Goa 403805, India; Ctr Space Applicat, ISRO, Ahmadabad 380015A, Gujarat, India</t>
  </si>
  <si>
    <t>Ministry of Earth Sciences (MoES) - India; National Centre for Polar and Ocean Research (NCPOR); Department of Space (DoS), Government of India; Indian Space Research Organisation (ISRO); Space Applications Centre (SAC)</t>
  </si>
  <si>
    <t>Khare, N (corresponding author), Natl Ctr Antarctic &amp; Ocean Res, Headland Sada, Goa 403805, India.</t>
  </si>
  <si>
    <t>205SQ</t>
  </si>
  <si>
    <t>WOS:000249135300014</t>
  </si>
  <si>
    <t>Lenser, T; Constable, A</t>
  </si>
  <si>
    <t>Lenser, Thorsten; Constable, Andrew</t>
  </si>
  <si>
    <t>A nonparametric algorithm to model movement between polygon subdomains in a spatially explicit ecosystem model</t>
  </si>
  <si>
    <t>ECOLOGICAL MODELLING</t>
  </si>
  <si>
    <t>spatial modelling; oceanography; movement modeling</t>
  </si>
  <si>
    <t>MARINE ECOSYSTEM; NORTH-SEA; TRANSPORT; CIRCULATION</t>
  </si>
  <si>
    <t>Many modern spatially explicit ecosystem models use modelling subdomains of different shape and size ('polygons') to resolve space, and movement of biomass between them forms an important part of the modelling effort. in marine applications, a flow field grid describing the water movement usually forms the basis for movement of passive or nearly passive biomass. Grid-based advection algorithms are not designed to model movement on the larger scale of polygons, resulting in disproportion ally large computational costs and difficult communication between model layers. In this paper, a simple and effective algorithm to model movement at the polygon level is proposed, preserving the general properties of biomass distribution in comparison to a grid-scale model. A nonparametric description of inter-polygon movement in the domain is generated which is used to approximately replicate the observed movement pattern. To estimate the movement description, the moves of passive numerical drifters between polygons are observed. The resulting algorithm outperforms the conventional polygon-based transport equation approach both in artificial and realistic scenarios. (c) 2007 Elsevier B.V. All rights reserved.</t>
  </si>
  <si>
    <t>Univ Jena, BioSyst Anal Grp, D-07743 Jena, Germany; Australian Govt Antarctic Div, Kingston, Tas 7050, Australia</t>
  </si>
  <si>
    <t>Friedrich Schiller University of Jena; Australian Antarctic Division</t>
  </si>
  <si>
    <t>Lenser, T (corresponding author), Univ Jena, BioSyst Anal Grp, Ernst Abbe Pl 1-4, D-07743 Jena, Germany.</t>
  </si>
  <si>
    <t>thlenser@inf.uni-jena.de</t>
  </si>
  <si>
    <t>0304-3800</t>
  </si>
  <si>
    <t>1872-7026</t>
  </si>
  <si>
    <t>ECOL MODEL</t>
  </si>
  <si>
    <t>Ecol. Model.</t>
  </si>
  <si>
    <t>10.1016/j.ecolmodel.2007.03.021</t>
  </si>
  <si>
    <t>Ecology</t>
  </si>
  <si>
    <t>Environmental Sciences &amp; Ecology</t>
  </si>
  <si>
    <t>192VM</t>
  </si>
  <si>
    <t>WOS:000248231500007</t>
  </si>
  <si>
    <t>Fan, ZY; Plane, JMC; Gumbel, J</t>
  </si>
  <si>
    <t>Fan, Z. Y.; Plane, J. M. C.; Gumbel, J.</t>
  </si>
  <si>
    <t>On the global distribution of sporadic sodium layers</t>
  </si>
  <si>
    <t>LIDAR OBSERVATIONS; ATMOSPHERIC SODIUM; ION; GENERATION; CHEMISTRY; NAHCO3; RADAR</t>
  </si>
  <si>
    <t>Limb-scanning measurements of the dayglow radiance at 589 nm, made with the OSIRIS spectrometer on the Odin satellite, are used to retrieve Na layer profiles with sufficient vertical resolution (similar to 2 km) to observe sporadic Na layers (SSLs). A two-year data base (2003-2004) has been analyzed to determine the global distribution of the SSL occurrence frequency (at 0600 and 1800 hrs local time). This shows that SSLs are much more prevalent in the southern hemisphere, with a particularly active region extending from South America at latitudes greater than 40 degrees S to the Antarctic peninsula. The global average SSL occurrence frequency is about 5%. By analyzing the occurrence of SSLs in successive limb scans, it appears that most SSLs have a horizontal extent of less than similar to 300 km. However, on one occasion during this 2-year study, two apparently very large SSLs, extending about 70 degrees in latitude, were observed.</t>
  </si>
  <si>
    <t>Univ E Anglia, Sch Environm Sci, Norwich NR4 7TJ, Norfolk, England; Univ Leeds, Sch Chem, Leeds LS2 9JT, W Yorkshire, England; Stockholm Univ, Dept Meteorol, SE-10691 Stockholm, Sweden</t>
  </si>
  <si>
    <t>University of East Anglia; University of Leeds; Stockholm University</t>
  </si>
  <si>
    <t>Fan, ZY (corresponding author), Univ E Anglia, Sch Environm Sci, Norwich NR4 7TJ, Norfolk, England.</t>
  </si>
  <si>
    <t>j.m.c.plane@leeds.ac.uk</t>
  </si>
  <si>
    <t>Plane, John/C-7444-2015</t>
  </si>
  <si>
    <t>Plane, John/0000-0003-3648-6893</t>
  </si>
  <si>
    <t>L15808</t>
  </si>
  <si>
    <t>10.1029/2007GL030542</t>
  </si>
  <si>
    <t>201ZT</t>
  </si>
  <si>
    <t>WOS:000248871900003</t>
  </si>
  <si>
    <t>Hnat, B; Chapman, SC; Kiyani, K; Rowlands, G; Watkins, NW</t>
  </si>
  <si>
    <t>Hnat, B.; Chapman, S. C.; Kiyani, K.; Rowlands, G.; Watkins, N. W.</t>
  </si>
  <si>
    <t>On the fractal nature of the magnetic field energy density in the solar wind</t>
  </si>
  <si>
    <t>TURBULENCE</t>
  </si>
  <si>
    <t>The solar wind exhibits scaling typical of intermittent turbulence in the statistics of in situ fluctuations in both the magnetic and velocity fields. Intriguingly, quantities not directly accessed by theories of ideal, incompressible, MHD turbulence, such as magnetic energy density, B-2, nevertheless show evidence of simple fractal (self-affine) statistical scaling. We apply a novel statistical technique which is a sensitive discriminator of fractality to the B-2 timeseries from WIND and ACE. We show that robust fractal behaviour occurs at solar maximum and determine the scaling exponents. The probability density function (PDF) of fluctuations at solar maximum and minimum are distinct. Power law tails are seen at maximum, and the PDF is reminiscent of a Levy flight. Citation: Hnat, B., S. C. Chapman, K. Kiyani, G. Rowlands, and N. W. Watkins (2007), On the fractal nature of the magnetic field energy density in the solar wind.</t>
  </si>
  <si>
    <t>Univ Warwick, Ctr Fus Space &amp; Astrophys, Coventry CV4 7AL, W Midlands, England; British Antarctic Survey, Nat Complex Programme, Cambridge CB3 0ET, England</t>
  </si>
  <si>
    <t>University of Warwick; UK Research &amp; Innovation (UKRI); Natural Environment Research Council (NERC); NERC British Antarctic Survey</t>
  </si>
  <si>
    <t>Hnat, B (corresponding author), Univ Warwick, Ctr Fus Space &amp; Astrophys, Coventry CV4 7AL, W Midlands, England.</t>
  </si>
  <si>
    <t>b.hnat@warwick.ac.uk</t>
  </si>
  <si>
    <t>Watkins, Nick/GPX-7439-2022; Chapman, Sandra/C-2216-2008; Watkins, Nicholas Wynn/C-5140-2008; Kiyani, Khurom H/C-2430-2009</t>
  </si>
  <si>
    <t>Watkins, Nick/0000-0003-4484-6588; Chapman, Sandra/0000-0003-0053-1584; Watkins, Nicholas Wynn/0000-0003-4484-6588;</t>
  </si>
  <si>
    <t>Engineering and Physical Sciences Research Council [EP/D062837/1] Funding Source: researchfish; Natural Environment Research Council [bas010021] Funding Source: researchfish; EPSRC [EP/D062837/1] Funding Source: UKRI; NERC [bas010021] Funding Source: UKRI</t>
  </si>
  <si>
    <t>Engineering and Physical Sciences Research Council(UK Research &amp; Innovation (UKRI)Engineering &amp; Physical Sciences Research Council (EPSRC)); Natural Environment Research Council(UK Research &amp; Innovation (UKRI)Natural Environment Research Council (NERC)); EPSRC(UK Research &amp; Innovation (UKRI)Engineering &amp; Physical Sciences Research Council (EPSRC)); NERC(UK Research &amp; Innovation (UKRI)Natural Environment Research Council (NERC))</t>
  </si>
  <si>
    <t>L15108</t>
  </si>
  <si>
    <t>10.1029/2007GL029531</t>
  </si>
  <si>
    <t>WOS:000248871900001</t>
  </si>
  <si>
    <t>Sivestri, A</t>
  </si>
  <si>
    <t>Sivestri, Andrea</t>
  </si>
  <si>
    <t>Results from the AMANDA experiment</t>
  </si>
  <si>
    <t>MODERN PHYSICS LETTERS A</t>
  </si>
  <si>
    <t>neutrino detector; neutrino astronomy; point sources; diffuse sources; ultra high energy neutrinos</t>
  </si>
  <si>
    <t>HIGH-ENERGY NEUTRINOS; SEARCH; FLUX</t>
  </si>
  <si>
    <t>The Antarctic Muon And Neutrino Detector Array (AMANDA) has been taking data since 2000 and its data acquisition system was upgraded in January 2003 to read out the complete digitized waveforms from the buried Photomultipliers (PMTs) using Transient Waveform Recorders (TWR). This system currently runs in parallel with the standard AMANDA data acquisition system. Once AMANDA is incorporated into the 1 km(3) detector IceCube, only the TWR system will be kept. We report results from a first atmospheric neutrino analysis on data collected in 2003 with TWR. Good agreement in event rate and angular distribution verify the performance of the TWR system. A search of the northern hemisphere for localized event clusters shows no statistically significant excess, thus a flux limit is calculated, which is in full agreement with previous results based on the standard AMANDA data acquistion system. We also updated the status of a search for diffusely distributed neutrinos with ultra high energy (UHE) using data collected by the TWR system.</t>
  </si>
  <si>
    <t>[Sivestri, Andrea] Univ Calif Irvine, Dept Phys &amp; Astron, Irvine, CA 92697 USA</t>
  </si>
  <si>
    <t>University of California System; University of California Irvine</t>
  </si>
  <si>
    <t>Sivestri, A (corresponding author), Univ Calif Irvine, Dept Phys &amp; Astron, Irvine, CA 92697 USA.</t>
  </si>
  <si>
    <t>silvestr@uci.edu</t>
  </si>
  <si>
    <t>Sánchez, Juan Antonio Aguilar/H-4467-2015</t>
  </si>
  <si>
    <t>WORLD SCIENTIFIC PUBL CO PTE LTD</t>
  </si>
  <si>
    <t>SINGAPORE</t>
  </si>
  <si>
    <t>5 TOH TUCK LINK, SINGAPORE 596224, SINGAPORE</t>
  </si>
  <si>
    <t>0217-7323</t>
  </si>
  <si>
    <t>MOD PHYS LETT A</t>
  </si>
  <si>
    <t>Mod. Phys. Lett. A</t>
  </si>
  <si>
    <t>Astronomy &amp; Astrophysics; Physics, Nuclear; Physics, Particles &amp; Fields; Physics, Mathematical</t>
  </si>
  <si>
    <t>Astronomy &amp; Astrophysics; Physics</t>
  </si>
  <si>
    <t>243EW</t>
  </si>
  <si>
    <t>WOS:000251778900001</t>
  </si>
  <si>
    <t>Jouzel, J; Masson-Delmotte, V; Cattani, O; Dreyfus, G; Falourd, S; Hoffmann, G; Minster, B; Nouet, J; Barnola, JM; Chappellaz, J; Fischer, H; Gallet, JC; Johnsen, S; Leuenberger, M; Loulergue, L; Luethi, D; Oerter, H; Parrenin, F; Raisbeck, G; Raynaud, D; Schilt, A; Schwander, J; Selmo, E; Souchez, R; Spahni, R; Stauffer, B; Steffensen, JP; Stenni, B; Stocker, TF; Tison, JL; Werner, M; Wolff, EW</t>
  </si>
  <si>
    <t>Jouzel, J.; Masson-Delmotte, V.; Cattani, O.; Dreyfus, G.; Falourd, S.; Hoffmann, G.; Minster, B.; Nouet, J.; Barnola, J. M.; Chappellaz, J.; Fischer, H.; Gallet, J. C.; Johnsen, S.; Leuenberger, M.; Loulergue, L.; Luethi, D.; Oerter, H.; Parrenin, F.; Raisbeck, G.; Raynaud, D.; Schilt, A.; Schwander, J.; Selmo, E.; Souchez, R.; Spahni, R.; Stauffer, B.; Steffensen, J. P.; Stenni, B.; Stocker, T. F.; Tison, J. L.; Werner, M.; Wolff, E. W.</t>
  </si>
  <si>
    <t>Orbital and millennial Antarctic climate variability over the past 800,000 years</t>
  </si>
  <si>
    <t>PLEISTOCENE GLACIAL TERMINATIONS; SEA-ICE EXTENT; EPICA DOME-C; EAST ANTARCTICA; TEMPERATURE RECORD; TROPICAL PACIFIC; ISOTOPE RECORDS; GREENLAND; CYCLES; CORE</t>
  </si>
  <si>
    <t>A high-resolution deuterium profile is now available along the entire European Project for Ice Coring in Antarctica Dome C ice core, extending this climate record back to marine isotope stage 20.2, similar to 800,000 years ago. Experiments performed with an atmospheric general circulation model including water isotopes support its temperature interpretation. We assessed the general correspondence between Dansgaard-Oeschger events and their smoothed Antarctic counterparts for this Dome C record, which reveals the presence of such features with similar amplitudes during previous glacial periods. We suggest that the interplay between obliquity and precession accounts for the variable intensity of interglacial periods in ice core records.</t>
  </si>
  <si>
    <t>Univ Versailles St Quentin Yvelines, CE Saclay, Lab Sci Climat &amp; Environn, Inst Pierre Simon Laplace,CEA,CNRS, F-91191 Gif Sur Yvette, France; Univ Grenoble 1, Lab Glaciol &amp; Geophys Environm, CNRS, F-38402 St Martin Dheres, France; Alfred Wegener Inst Polar &amp; Marine Res, D-27568 Bremerhaven, Germany; Univ Copenhagen, Dept Geophys, DK-2100 Copenhagen, Denmark; Univ Reykjavik, Inst Sci, IS-107 Reykjavik, Iceland; Univ Bern, Inst Phys, CH-3012 Bern, Switzerland; CNRS, Ctr Spectrometrie Nucl &amp; Spectrometrie Masse, F-91405 Orsay, France; Univ Parma, Dept Earth Sci, I-43100 Parma, Italy; Univ Libre Bruxelles, Dept Sci Terre &amp; Environm, Brussels, Belgium; Univ Trieste, Dept Geol Environm &amp; Marine Sci, I-34127 Trieste, Italy; Max Planck Inst Biogeochem, D-7701 Jena, Germany; British Antarctic Survey, Cambridge CB3 0ET, England</t>
  </si>
  <si>
    <t>CEA; Centre National de la Recherche Scientifique (CNRS); Universite Paris Saclay; Universite Paris Cite; Communaute Universite Grenoble Alpes; Universite Grenoble Alpes (UGA); Centre National de la Recherche Scientifique (CNRS); Helmholtz Association; Alfred Wegener Institute, Helmholtz Centre for Polar &amp; Marine Research; University of Copenhagen; University of Iceland; University of Bern; Centre National de la Recherche Scientifique (CNRS); Universite Paris Saclay; University of Parma; Universite Libre de Bruxelles; University of Trieste; Max Planck Society; UK Research &amp; Innovation (UKRI); Natural Environment Research Council (NERC); NERC British Antarctic Survey</t>
  </si>
  <si>
    <t>Jouzel, J (corresponding author), Univ Versailles St Quentin Yvelines, CE Saclay, Lab Sci Climat &amp; Environn, Inst Pierre Simon Laplace,CEA,CNRS, F-91191 Gif Sur Yvette, France.</t>
  </si>
  <si>
    <t>jean.jouzel@lsce.ipsl.fr</t>
  </si>
  <si>
    <t>Masson-Delmotte, Valerie L/G-1995-2011; Stocker, Thomas F/B-1273-2013; Raynaud, Dominique/H-9626-2016; Wolff, Eric W/D-7925-2014; Chappellaz, Jérôme A./A-4872-2011; Leuenberger, Markus C/K-9655-2016; Werner, Martin/C-8067-2014; Parrenin, Frédéric/H-3054-2014; raynaud, dominique/ABG-4718-2020; Steffensen, Jorgen Peder/JFS-7831-2023; Fischer, Hubertus/A-1211-2014; Tison, Jean-Louis/F-4065-2015</t>
  </si>
  <si>
    <t>Masson-Delmotte, Valerie L/0000-0001-8296-381X; Wolff, Eric W/0000-0002-5914-8531; Leuenberger, Markus C/0000-0003-4299-6793; Werner, Martin/0000-0002-6473-0243; Parrenin, Frédéric/0000-0002-9489-3991; Steffensen, Jorgen Peder/0000-0002-5516-1093; Fischer, Hubertus/0000-0002-2787-4221; Nouet, Julius/0000-0001-5435-542X; Schilt, Adrian/0000-0001-6312-7947; Stenni, Barbara/0000-0003-4950-3664; Tison, Jean-Louis/0000-0002-9758-3454; Gallet, Jean-Charles/0000-0002-6153-1361</t>
  </si>
  <si>
    <t>10.1126/science.1141038</t>
  </si>
  <si>
    <t>198JN</t>
  </si>
  <si>
    <t>WOS:000248624500037</t>
  </si>
  <si>
    <t>Gower, J; King, S</t>
  </si>
  <si>
    <t>Gower, Jim; King, Stephanie</t>
  </si>
  <si>
    <t>An Antarctic ice-related superbloom observed with the MERIS satellite imager</t>
  </si>
  <si>
    <t>RADIANCE SPECTRA; NM; CHLOROPHYLL; BLOOMS; WATER; PEAK</t>
  </si>
  <si>
    <t>MERIS ( Medium Resolution Imaging Spectrometer) satellite imagery for early March 2006 shows streaks and patches of what appears to be an intense plankton bloom among broken ice off Ronne Entrance, Antarctica, near 73 S, 83 W. The streaks are 2 to 10 km wide and up to 100 km long, extending across open water between land and the ice edge. We interpret these streaks as an example of a previously reported type of``superbloom,'' in which very high surface concentrations of chlorophyll occur in water containing ice platelets. Spectral bands of the MERIS satellite imager in the visible and near-infrared allow computation of an index suitable for detection of surface blooms containing high concentrations of chlorophyll, especially blooms associated with high-scattering from suspended sediment or ice. The images presented here suggest a new way in which MERIS images can contribute to the study of primary productivity in polar regions.</t>
  </si>
  <si>
    <t>Fisheries &amp; Oceans Canada, Inst Ocean Sci, Sidney, BC V8L 4B2, Canada</t>
  </si>
  <si>
    <t>Fisheries &amp; Oceans Canada</t>
  </si>
  <si>
    <t>Gower, J (corresponding author), Fisheries &amp; Oceans Canada, Inst Ocean Sci, POB 6000, Sidney, BC V8L 4B2, Canada.</t>
  </si>
  <si>
    <t>gowerj@pac.dfo-mpo.gc.ca</t>
  </si>
  <si>
    <t>AUG 8</t>
  </si>
  <si>
    <t>L15501</t>
  </si>
  <si>
    <t>10.1029/2007GL029638</t>
  </si>
  <si>
    <t>201ZQ</t>
  </si>
  <si>
    <t>WOS:000248871600001</t>
  </si>
  <si>
    <t>Fitch, DT; Moore, JK</t>
  </si>
  <si>
    <t>Fitch, Dillon T.; Moore, J. Keith</t>
  </si>
  <si>
    <t>Wind speed influence on phytoplankton bloom dynamics in the southern ocean marginal ice zone</t>
  </si>
  <si>
    <t>SEA-SURFACE TEMPERATURE; ANTARCTIC SHELF WATERS; ROSS SEA; POLAR FRONT; IRON; CHLOROPHYLL; MODEL; DISTRIBUTIONS; GROWTH; FE</t>
  </si>
  <si>
    <t>[1] Analysis of satellite ocean color and wind speed data within the seasonal ice zone (SIZ) of the Southern Ocean sheds light on the physical processes that influence phytoplankton biomass distributions. A compilation of monthly averaged chlorophyll and percent sea ice cover data within the SIZ from 1997 to 2005 has been compared with monthly average wind speed data from 1999 to 2005. The size of the marginal ice zone (MIZ, areas of recent ice retreat) was fairly consistent from year to year, always peaking in December, with a mean area of 6.0 million km(2). The mean area within the MIZ with phytoplankton blooms (chlorophyll exceeding 0.8 mg/m(3)) was 0.36 million km(2). While the bloom areal extent seems small compared to the MIZ, in reality, because of gaps in the chlorophyll data, blooming regions comprise a much larger fraction of the MIZ. Considering only areas with valid chlorophyll data, the percentage of the MIZ with blooms was 17%, 21%, and 24% for the months of December, January, and February, respectively. December always has the largest MIZ area, but MIZ mean chlorophyll concentrations sometimes do not peak until February. Wind speed strongly impacts phytoplankton bloom dynamics within the MIZ. There is an inverse relation between wind speed and bloom occurrence, with blooms largely suppressed at high wind speeds. At low wind speeds (similar to 5 m/s), blooms are observed over about one third of the MIZ. Blooms are also much more frequent near the continent than in offshore waters, likely due to increased iron availability. Open ocean phytoplankton blooms in the Southern Ocean are likely to become iron-light co-limited except in regions where the mixed layer depth is relatively shallow.</t>
  </si>
  <si>
    <t>San Diego State Univ, Dept Geog, San Diego, CA 92182 USA; Univ Calif Irvine, Dept Earth Syst Sci, Irvine, CA 92697 USA</t>
  </si>
  <si>
    <t>California State University System; San Diego State University; University of California System; University of California Irvine</t>
  </si>
  <si>
    <t>Moore, JK (corresponding author), San Diego State Univ, Dept Geog, San Diego, CA 92182 USA.</t>
  </si>
  <si>
    <t>jkmoore@uci.edu</t>
  </si>
  <si>
    <t>AUG 7</t>
  </si>
  <si>
    <t>C08006</t>
  </si>
  <si>
    <t>10.1029/2006JC004061</t>
  </si>
  <si>
    <t>202AO</t>
  </si>
  <si>
    <t>WOS:000248874100001</t>
  </si>
  <si>
    <t>Bortnik, J; Thorne, RM; Meredith, NP</t>
  </si>
  <si>
    <t>Bortnik, J.; Thorne, R. M.; Meredith, N. P.</t>
  </si>
  <si>
    <t>Modeling the propagation characteristics of chorus using CRRES suprathermal electron fluxes</t>
  </si>
  <si>
    <t>STORM-TIME CHORUS; MAGNETOSPHERICALLY REFLECTED WHISTLERS; OUTER RADIATION BELT; PITCH-ANGLE; RELATIVISTIC ENERGIES; VLF-EMISSIONS; GEOMAGNETIC STORMS; SOURCE REGION; ACCELERATION; WAVES</t>
  </si>
  <si>
    <t>In the present paper, phase space density functions of the form f (v) = A(N)/v(n) are fitted to statistical distributions of suprathermal electron fluxes ( E = 0.213-16.5 keV) from the CRRES satellite, parameterized by L-shell, Magnetic Local Time (MLT), and geomagnetic activity. The fitted distributions are used in conjunction with ray tracing to calculate the Landau damping rates of an ensemble of rays representing whistler-mode chorus waves. The modeled propagation characteristics are compared with observations of chorus wave power from the CRRES satellite, as a function of L-shell, MLT, and magnetic latitude, in various frequency bands, and under various geomagnetic conditions. It is shown that the model results are remarkably consistent with many aspects of the observed wave distributions, including frequency, L-shell, MLT, and latitudinal dependence. In addition, the MLT distribution of wave power becomes characteristically asymmetric during active geomagnetic conditions, with small propagation lengths on the nightside which increase with MLT and maximize on the dayside. This asymmetry is shown to be directly related to the dynamics of the Landau resonant suprathermal electrons which drift around the Earth whilst undergoing scattering and loss due to a variety of plasma waves. Consequently, the suprathermal electrons play an important role in radiation belt dynamics, by controlling the distribution of chorus, which in turn contributes to the acceleration and loss of relativistic electrons in the recovery phase of storms.</t>
  </si>
  <si>
    <t>Univ Calif Los Angeles, Dept Atmospher &amp; Ocean Sci, Los Angeles, CA 90095 USA; British Antarctic Survey, NERC, Cambridge CB3 0ET, England</t>
  </si>
  <si>
    <t>University of California System; University of California Los Angeles; UK Research &amp; Innovation (UKRI); Natural Environment Research Council (NERC); NERC British Antarctic Survey</t>
  </si>
  <si>
    <t>jbortnik@gmail.com; rmt@atmos.ucla.edu; nmer@bas.ac.uk</t>
  </si>
  <si>
    <t>Meredith, Nigel P/C-5806-2018</t>
  </si>
  <si>
    <t>Meredith, Nigel/0000-0001-5032-3463; Horne, Richard/0000-0002-0412-6407</t>
  </si>
  <si>
    <t>A08204</t>
  </si>
  <si>
    <t>10.1029/2006JA012237</t>
  </si>
  <si>
    <t>202BE</t>
  </si>
  <si>
    <t>WOS:000248875700001</t>
  </si>
  <si>
    <t>Smith, DE; Cullingford, RA; Mighall, TM; Jordan, JT; Fretwell, PT</t>
  </si>
  <si>
    <t>Smith, D. E.; Cullingford, R. A.; Mighall, T. M.; Jordan, J. T.; Fretwell, P. T.</t>
  </si>
  <si>
    <t>Holocene relative sea level changes in a glacio-isostatic area: New data from south-west Scotland, United Kingdom</t>
  </si>
  <si>
    <t>International Conference on Quaternary Land-Ocean Interactions - Driving Mechanisms and Coastal Responses</t>
  </si>
  <si>
    <t>SEP, 2005</t>
  </si>
  <si>
    <t>Banten Province, INDONESIA</t>
  </si>
  <si>
    <t>holocene; glacio-isostasy; shoreline; morphology; stratigraphy; pollen; diatoms</t>
  </si>
  <si>
    <t>MAIN ROCK PLATFORM; BRITISH-ISLES; NORTHWEST SCOTLAND; RADIOCARBON-DATES; AGE CALIBRATION; PEAT; VALLEY</t>
  </si>
  <si>
    <t>This paper contributes to knowledge of Holocene relative sea level change along the mainland Ayrshire coast and offshore Isle of Bute, SW Scotland, UK, where few such studies have previously been undertaken. Morphological studies (mapping and altitude survey), together with stratigraphical and biostratigraphical studies (pollen and diatom analyses and radiocarbon dating) disclose evidence for mid and late Holocene relative sea level changes. The Main Postglacial and Blairdrummond displaced shorelines, previously identified widely in mainland Scotland, are dated in the area at c. 6800 calibrated years (c. 6000 C-14 years) and c. 4200 calibrated years (c. 3800 14C years) BP respectively. This information is compared with previously published information for Scotland against the classical theoretical model of relative sea level change in areas of glacio-isostasy. For the mid and late Holocene, in conformity with the model, a falling sequence of relative sea level changes near the centre of uplift is replaced by a rising sequence towards the periphery, in which later shorelines overlap earlier ones. In particular, the Blairdrummond Shoreline, which overlaps the earlier Main Postglacial Shoreline, is identified as the highest Holocene shoreline over much of the coastline of Scotland. (c) 2006 Elsevier B.V All rights reserved.</t>
  </si>
  <si>
    <t>Univ Oxford, Ctr Environm, Oxford OX1 3QY, England; Univ Exeter, Sch Geog Archaeol &amp; Earth Resources, Exeter EX4 4RJ, Devon, England; Univ Aberdeen, Dept Geog &amp; Environm, Aberdeen AB24 3UF, Scotland; Coventry Univ, Dept Geog Environm &amp; Disaster Management, Coventry CV1 5FB, W Midlands, England; British Antarctic Survey, Cambridge CB3 0ET, England</t>
  </si>
  <si>
    <t>University of Oxford; University of Exeter; University of Aberdeen; Coventry University; UK Research &amp; Innovation (UKRI); Natural Environment Research Council (NERC); NERC British Antarctic Survey</t>
  </si>
  <si>
    <t>Smith, DE (corresponding author), Univ Oxford, Ctr Environm, S Parks Rd, Oxford OX1 3QY, England.</t>
  </si>
  <si>
    <t>davidsmith@quatemary.wanadoo.co.uk; robin@cullingford.freeserve.co.uk; t.mighall@abdn.ac.uk; jason.jordan@coventry.ac.uk; ptf@bas.ac.uk</t>
  </si>
  <si>
    <t>Jordan, Jason/0000-0001-6150-7022; Mighall, Tim/0000-0002-8365-7694</t>
  </si>
  <si>
    <t>Natural Environment Research Council [bas010012, bas010011] Funding Source: researchfish; NERC [bas010012, bas010011] Funding Source: UKRI</t>
  </si>
  <si>
    <t>AUG 6</t>
  </si>
  <si>
    <t>1-3</t>
  </si>
  <si>
    <t>10.1016/j.margeo.2006.09.015</t>
  </si>
  <si>
    <t>201UK</t>
  </si>
  <si>
    <t>WOS:000248857900002</t>
  </si>
  <si>
    <t>Wessel, P; Kroenke, LW</t>
  </si>
  <si>
    <t>Wessel, Paul; Kroenke, Loren W.</t>
  </si>
  <si>
    <t>Reconciling late Neogene Pacific absolute and relative plate motion changes</t>
  </si>
  <si>
    <t>GEOCHEMISTRY GEOPHYSICS GEOSYSTEMS</t>
  </si>
  <si>
    <t>plate motion; diffuse extension; Pacific; 8158 Tectonophysics : Plate motions : present and recent (3040); 8157 Tectonophysics : Plate motions : past (3040); 8164 Tectonophysics : Stresses : crust and lithosphere</t>
  </si>
  <si>
    <t>SIQUEIROS TRANSFORM-FAULT; LINEAR VOLCANIC CHAINS; HAWAIIAN-EMPEROR BEND; ONTONG-JAVA PLATEAU; FRACTURE-ZONES; BOUNDARY REORGANIZATION; ANTARCTIC RIDGE; SOUTH-PACIFIC; INTRAPLATE VOLCANISM; THERMAL CONTRACTION</t>
  </si>
  <si>
    <t>[1] New models of Pacific absolute plate motion relative to hot spots and models of relative plate motion involving the Pacific plate all agree there was a significant change in the late Neogene (Chron 3A, similar to 5.89 Ma), reflecting a more northerly absolute motion than previously determined. As Pacific absolute plate motion became slightly more northerly, left-stepping transform segments came under compression. Some left-stepping segments became microplates with clockwise rotation; others show clear evidence of compressional deformation. Conversely, right-stepping transforms came under tension, and many developed intratransform spreading centers or show similar evidence for transform magmatism. Several large left-stepping transform offsets represent portions of the Nazca plate protruding into the Pacific and as such act as obstacles to the more northerly Pacific absolute plate motion. We suggest these obstructions act to enhance the generally tensile equatorial Pacific stress regime caused by distant slab pull. As a consequence, the greater French Polynesia region has experienced diffuse volcanism that increased considerably following the Chron 3A plate motion change. We propose that since the Hawaii-Emperor Bend time, the distant Pacific slab pull and the friction between the large, buoyant Ontong Java plateau and the northern margin of the Australia plate have produced episodes of increased tensile stresses in the equatorial Pacific. We believe these stress excursions are responsible for much of the intraplate volcanism observed in a wide triangular region from Samoa to the East Pacific and Pacific-Antarctic Rises.</t>
  </si>
  <si>
    <t>Univ Hawaii, Sch Ocean &amp; Earth Sci &amp; Technol, Dept Geol &amp; Geophys, Honolulu, HI 96822 USA</t>
  </si>
  <si>
    <t>University of Hawaii System</t>
  </si>
  <si>
    <t>Wessel, P (corresponding author), Univ Hawaii, Sch Ocean &amp; Earth Sci &amp; Technol, Dept Geol &amp; Geophys, 1680 E W Rd, Honolulu, HI 96822 USA.</t>
  </si>
  <si>
    <t>pwessel@hawaii.edu</t>
  </si>
  <si>
    <t>1525-2027</t>
  </si>
  <si>
    <t>GEOCHEM GEOPHY GEOSY</t>
  </si>
  <si>
    <t>Geochem. Geophys. Geosyst.</t>
  </si>
  <si>
    <t>AUG 4</t>
  </si>
  <si>
    <t>Q08001</t>
  </si>
  <si>
    <t>10.1029/2007GC001636</t>
  </si>
  <si>
    <t>198AD</t>
  </si>
  <si>
    <t>WOS:000248598500002</t>
  </si>
  <si>
    <t>Harlin-Cognato, AD; Markowitz, T; Wüersig, B; Honeycutt, RL</t>
  </si>
  <si>
    <t>Harlin-Cognato, April D.; Markowitz, Tim; Wuersig, Bernd; Honeycutt, Rodney L.</t>
  </si>
  <si>
    <t>Multi-locus phylogeography of the dusky dolphin (Lagenorhynchus obscurus):: passive dispersal via the west-wind drift or response to prey species and climate change?</t>
  </si>
  <si>
    <t>BMC EVOLUTIONARY BIOLOGY</t>
  </si>
  <si>
    <t>ANTARCTIC CIRCUMPOLAR CURRENT; MAXIMUM-LIKELIHOOD-ESTIMATION; MIGRATION; HAPLOTYPES; QUATERNARY; SARDINES; LINEAGES; GRAY</t>
  </si>
  <si>
    <t>Background: The dusky dolphin ( Lagenorhynchus obscurus) is distributed along temperate, coastal regions of New Zealand, South Africa, Argentina, and Peru where it feeds on schooling anchovy, sardines, and other small fishes and squid tightly associated with temperate ocean sea surface temperatures. Previous studies have suggested that the dusky dolphin dispersed in the Southern Hemisphere eastward from Peru via a linear, temperate dispersal corridor provided by the circumpolar west-wind drift. With new mitochondrial and nuclear DNA sequence data, we propose an alternative phylogeographic history for the dusky dolphin that was structured by paleoceanographic conditions that repeatedly altered the distribution of its temperate prey species during the Plio-Pleistocene. Results: In contrast to the west-wind drift hypothesis, phylogenetic analyses support a Pacific/Indian Ocean origin, with a relatively early and continued isolation of Peru from other regions. Dispersal of the dusky dolphin into the Atlantic is correlated with the history of anchovy populations, including multiple migrations from New Zealand to South Africa. Additionally, the cooling of the Eastern Equatorial Pacific led to the divergence of anchovy populations, which in turn explains the north-south equatorial transgression of L. obliquidens and the subsequent divergence of L. obscurus in the Southern Hemisphere. Conclusion: Overall, our study fails to support the west-wind drift hypothesis. Instead, our data indicate that changes in primary productivity and related abundance of prey played a key role in shaping the phylogeography of the dusky dolphin, with periods of ocean change coincident with important events in the history of this temperate dolphin species. Moderate, short-term changes in sea surface temperatures and current systems have a powerful effect on anchovy populations; thus, it is not infeasible that repeated fluctuations in anchovy populations continue to play an important role in the history of coastal dolphin populations.</t>
  </si>
  <si>
    <t>Michigan State Univ, Dept Zool, E Lansing, MI 48824 USA; Dusky Dolphin Res Project, Kaikoura, New Zealand; Texas A&amp;M Univ, Dept Marine Biol, Marine Mammal Res Program, Galveston, TX 77551 USA; Pepperdine Univ, Div Nat Sci, Malibu, CA 90263 USA</t>
  </si>
  <si>
    <t>Michigan State University; Texas A&amp;M University System; Pepperdine University</t>
  </si>
  <si>
    <t>Harlin-Cognato, AD (corresponding author), Michigan State Univ, Dept Zool, 203 Nat Sci Bldg, E Lansing, MI 48824 USA.</t>
  </si>
  <si>
    <t>cognatoa@msu.edu; tim_markowitz@yahoo.com; wursigb@tamug.edu; rodney.honeycutt@pepperdine.edu</t>
  </si>
  <si>
    <t>Harlin Cognato, April/ABB-7480-2021</t>
  </si>
  <si>
    <t>BMC</t>
  </si>
  <si>
    <t>CAMPUS, 4 CRINAN ST, LONDON N1 9XW, ENGLAND</t>
  </si>
  <si>
    <t>1471-2148</t>
  </si>
  <si>
    <t>BMC EVOL BIOL</t>
  </si>
  <si>
    <t>BMC Evol. Biol.</t>
  </si>
  <si>
    <t>AUG 3</t>
  </si>
  <si>
    <t>10.1186/1471-2148-7-131</t>
  </si>
  <si>
    <t>Evolutionary Biology; Genetics &amp; Heredity</t>
  </si>
  <si>
    <t>209HT</t>
  </si>
  <si>
    <t>Green Published, gold</t>
  </si>
  <si>
    <t>WOS:000249380300001</t>
  </si>
  <si>
    <t>Kim, SL; Thurber, A; Hammerstrom, K; Conlan, K</t>
  </si>
  <si>
    <t>Kim, Stacy L.; Thurber, Andrew; Hammerstrom, Kamille; Conlan, Kathleen</t>
  </si>
  <si>
    <t>Seastar response to organic enrichment in an oligotrophic polar habitat</t>
  </si>
  <si>
    <t>anoxic; Antarctica; Beggiatoa; microbial; Odontaster validus; sewage</t>
  </si>
  <si>
    <t>MCMURDO SOUND; ROSS SEA; ANTARCTICA; COMPETITION; COMMUNITY; MICROBES; BEHAVIOR</t>
  </si>
  <si>
    <t>The high Antarctic marine system, including McMurdo Sound, is food limited. Benthic scavengers, especially the seastar Odontaster validus, respond rapidly to sources of organic material, however, fecal material from the McMurdo Station sewage outfall is not consumed. Laboratory and field experiments showed that O. validus responded quickly (within hours) to organically enriched sediments, but that the presence of the anaerobic bacteria Beggiatoa spp. modified seastar behavior. In the lab, anoxic sediments, even more strongly than the presence of Beggiatoa, caused seastar avoidance. In the field, Beggiatoa caused seastar avoidance even of organically enriched sediments. The large mass of organic material remaining from pre-sewage treatment years at the McMurdo outfall is currently completely covered by a thick Beggiatoa microbial mat. O. validus and other megafaunal scavengers are abundant nearby but do not feed on the sewage organics that are covered by the microbes. The outfall deposit is thus likely to exist for a long period of time, undergoing slow anaerobic microbial degradation rather than rapid processing by megafaunal scavengers. This is an example of competition between constituents of the microbial and megafaunal communities and espouses the need for an ecosystem approach to ecology rather than community analysis within a limited size class (i.e. mega-, macro-, meio-, or micro-fauna). (c) 2007 Elsevier B.V. All rights reserved.</t>
  </si>
  <si>
    <t>Moss Landing Marine Labs, Benth Lab, Moss Landing, CA 95039 USA; Canadian Museum Nat, Ottawa, ON K1P 6P4, Canada</t>
  </si>
  <si>
    <t>Moss Landing Marine Laboratories</t>
  </si>
  <si>
    <t>Kim, SL (corresponding author), Moss Landing Marine Labs, Benth Lab, 8272 Moss Landing Rd, Moss Landing, CA 95039 USA.</t>
  </si>
  <si>
    <t>skim@mlml.calstate.edu</t>
  </si>
  <si>
    <t>10.1016/j.jembe.2007.03.004</t>
  </si>
  <si>
    <t>177LW</t>
  </si>
  <si>
    <t>WOS:000247155600008</t>
  </si>
  <si>
    <t>Abram, NJ; Mulvaney, R; Wolff, EW; Mudelsee, M</t>
  </si>
  <si>
    <t>Abram, Nerilie J.; Mulvaney, Robert; Wolff, Eric W.; Mudelsee, Manfred</t>
  </si>
  <si>
    <t>Ice core records as sea ice proxies: An evaluation from the Weddell Sea region of Antarctica</t>
  </si>
  <si>
    <t>DRONNING MAUD LAND; PALEOCLIMATIC TIME-SERIES; METHANESULFONIC-ACID; BERKNER ISLAND; SOUTHERN-OCEAN; PENINSULA; VARIABILITY; CLIMATE; EXTENT; PRECIPITATION</t>
  </si>
  <si>
    <t>Ice core records of methanesulfonic acid ( MSA) from three sites around the Weddell Sea are investigated for their potential as sea ice proxies. It is found that the amount of MSA reaching the ice core sites decreases following years of increased winter sea ice in the Weddell Sea; opposite to the expected relationship if MSA is to be used as a sea ice proxy. It is also shown that this negative MSA- sea ice relationship cannot be explained by the influence that the extensive summer ice pack in the Weddell Sea has on MSA production area and transport distance. A historical record of sea ice from the northern Weddell Sea shows that the negative relationship between MSA and winter sea ice exists over interannual ( similar to 7- year period) and multidecadal ( similar to 20- year period) timescales. National Centers for Environmental Prediction/ National Center for Atmospheric Research ( NCEP/ NCAR) reanalysis data suggest that this negative relationship is most likely due to variations in the strength of cold offshore wind anomalies traveling across the Weddell Sea, which act to synergistically increase sea ice extent ( SIE) while decreasing MSA delivery to the ice core sites. Hence our findings show that in some locations atmospheric transport strength, rather than sea ice conditions, is the dominant factor that determines the MSA signal preserved in near- coastal ice cores. A cautious approach is thus required in using ice core MSA for reconstructing past sea ice conditions, including the need for networks of ice core records and multiproxy studies to assess the significance of past MSA changes at different locations around Antarctica.</t>
  </si>
  <si>
    <t>British Antarctic Survey, Cambridge CB3 0ET, England; Climate Risk Anal, D-06114 Halle, Germany; Univ Leipzig, Inst Meteorol, D-7010 Leipzig, Germany</t>
  </si>
  <si>
    <t>UK Research &amp; Innovation (UKRI); Natural Environment Research Council (NERC); NERC British Antarctic Survey; Leipzig University</t>
  </si>
  <si>
    <t>Abram, NJ (corresponding author), British Antarctic Survey, High Cross, Cambridge CB3 0ET, England.</t>
  </si>
  <si>
    <t>nabr@bas.ac.uk</t>
  </si>
  <si>
    <t>Wolff, Eric W/D-7925-2014; Abram, Nerilie/AAT-5171-2021; Mulvaney, Robert/K-3929-2012; Mudelsee, Manfred/C-6063-2018</t>
  </si>
  <si>
    <t>Wolff, Eric W/0000-0002-5914-8531; Abram, Nerilie/0000-0003-1246-2344; Mulvaney, Robert/0000-0002-5372-8148; Mudelsee, Manfred/0000-0002-2364-9561</t>
  </si>
  <si>
    <t>D15</t>
  </si>
  <si>
    <t>D15101</t>
  </si>
  <si>
    <t>10.1029/2006JD008139</t>
  </si>
  <si>
    <t>198AU</t>
  </si>
  <si>
    <t>Green Accepted, Bronze, Green Submitted</t>
  </si>
  <si>
    <t>WOS:000248600200001</t>
  </si>
  <si>
    <t>Clilverd, MA; Rodger, CJ; Moffat-Griffin, T; Verronen, PT</t>
  </si>
  <si>
    <t>Clilverd, Mark A.; Rodger, Craig J.; Moffat-Griffin, Tracy; Verronen, Pekka T.</t>
  </si>
  <si>
    <t>Improved dynamic geomagnetic rigidity cutoff modeling: Testing predictive accuracy</t>
  </si>
  <si>
    <t>SOLAR PROTON EVENT; OCTOBER 1989; RIOMETER; ABSORPTION; LATITUDES</t>
  </si>
  <si>
    <t>In the polar atmosphere, significant chemical and ionization changes occur during solar proton events (SPEs). The access of solar protons to this region is limited by the dynamically changing geomagnetic field. In this study, we have used riometer absorption observations to investigate the accuracy of a model to predict K-p-dependent geomagnetic rigidity cutoffs, and hence the changing proton fluxes. The imaging riometer at Halley, Antarctica is ideally situated for such a study, as the rigidity cutoff sweeps back and forth across the instrument's field of view, providing a severe test of the rigidity cutoff model. Using observations from this riometer during five solar proton events, we have confirmed the basic accuracy of this rigidity model. However, we find that the model can be improved by setting a lower K-p limit (i.e., K-p = 5 instead of 6) at which the rigidity modeling saturates. We also find that, for L &gt; 4.5, the apparent L-shell of the beam moves equatorward. In addition, the Sodankyla Ion and Neutral Chemistry (SIC) model is used to determine an empirical relationship between integral proton precipitation fluxes and nighttime ionosphere riometer absorption, in order to allow consideration of wintertime SPEs. We find that during the nighttime, the proton flux energy threshold is lowered to include protons with energies of &gt; 5 MeV in comparison with &gt; 10 MeV for the daytime empirical relationships. In addition, we provide an indication of the southern and northern geographic regions inside which SPEs play a role in modifying the neutral chemistry of the stratosphere and mesosphere.</t>
  </si>
  <si>
    <t>British Antarctic Survey, NERC, Div Phys Sci, Cambridge CB3 0ET, England; Univ Otago, Dept Phys, Dunedin, New Zealand; Finnish Meteorol Inst, FIN-00101 Helsinki, Finland</t>
  </si>
  <si>
    <t>UK Research &amp; Innovation (UKRI); Natural Environment Research Council (NERC); NERC British Antarctic Survey; University of Otago; Finnish Meteorological Institute</t>
  </si>
  <si>
    <t>Clilverd, MA (corresponding author), British Antarctic Survey, NERC, Div Phys Sci, High Cross,Madingley Rd, Cambridge CB3 0ET, England.</t>
  </si>
  <si>
    <t>macl@bas.ac.uk; crodger@physics.otago.ac.nz; tmof@bas.ac.uk; pekka.verronen@fmi.fi</t>
  </si>
  <si>
    <t>Rodger, Craig/A-1501-2011; Verronen, P. T./AIE-0203-2022; Verronen, Pekka T/G-6658-2014</t>
  </si>
  <si>
    <t>Verronen, P. T./0000-0002-3479-9071; Rodger, Craig J./0000-0002-6770-2707</t>
  </si>
  <si>
    <t>Natural Environment Research Council [bas010022] Funding Source: researchfish; NERC [bas010022] Funding Source: UKRI</t>
  </si>
  <si>
    <t>A08302</t>
  </si>
  <si>
    <t>10.1029/2007JA012410</t>
  </si>
  <si>
    <t>198DG</t>
  </si>
  <si>
    <t>WOS:000248606600002</t>
  </si>
  <si>
    <t>Lunt, DJ; Ross, I; Hopley, PJ; Valdes, PJ</t>
  </si>
  <si>
    <t>Lunt, Daniel J.; Ross, Ian; Hopley, Philip J.; Valdes, Paul J.</t>
  </si>
  <si>
    <t>Modelling late Oligocene C4 grasses and climate</t>
  </si>
  <si>
    <t>PALAEOGEOGRAPHY PALAEOCLIMATOLOGY PALAEOECOLOGY</t>
  </si>
  <si>
    <t>Oligocene; climate modelling; C-4 grasses; miocene; C-3 grasses</t>
  </si>
  <si>
    <t>CARBON-DIOXIDE CONCENTRATIONS; LAST GLACIAL MAXIMUM; OCEAN HEAT-TRANSPORT; ATMOSPHERIC CO2; GREAT-PLAINS; LATE MIOCENE; VEGETATION; NEOGENE; EXPANSION; RECORD</t>
  </si>
  <si>
    <t>Evidence suggests that C-4 grasses, adapted to conditions of low CO,, high temperatures, and water-stressed environments, expanded relatively quickly, and in several geographically distinct regions, during the Late Miocene (approximately 9-7 Ma). Using a variety of modelling tools, we attempt to explain this expansion in terms of changes in global climate. We use a fully coupled atmosphere-ocean General Circulation Model (AOGCM, HadCM3L) to simulate global climate before and after the expansion (the Late Oligocene, 27 Ma, and pre-industrial). We then use the simulated climates to drive a process-based global vegetation model (LPJ). Contrary to indications from palaeo data, the vegetation model predicts a greater C4 distribution during the Late Oligocene than the pre-industrial. The principal reason for this is that the relatively high tropical temperatures which we predict for the Late Oligocene confer a competitive advantage on C4 grasses over C-3 grasses which outweighs the disadvantage imposed by the higher CO2 concentrations. We find that this result is robust to prescription of different CO, levels in the Late Oligocene AOGCM simulation, and to the vegetation model used. Of the several possible explanations proposed for the modeldata discrepancy, three seem most likely. First, that the vegetation models do not adequately represent certain processes under extreme climate conditions, such as fire disturbance, or key parameters related to the competition between C-3 and C-4 grasses. Second, that there existed an evolutionary niche for C-4 grasses prior to their expansion in the Late Miocene, which for some reason was not filled. Third, that we have not adequately modelled the Late Oligocene climate with the AOGCM. Future research should concentrate on the collection and analysis of additional data for the assessment of palaeo tropical land temperatures, and on further testing of the sensitivity of the AOGCM results. (c) 2007 Elsevier B.V. All rights reserved.</t>
  </si>
  <si>
    <t>Univ Bristol, Sch Geog Sci, BRIDGE, Bristol BS8 1SS, Avon, England; British Antarctic Survey, Geol Sci Div, Cambridge CB3 0ET, England</t>
  </si>
  <si>
    <t>University of Bristol; UK Research &amp; Innovation (UKRI); Natural Environment Research Council (NERC); NERC British Antarctic Survey</t>
  </si>
  <si>
    <t>Lunt, DJ (corresponding author), Univ Bristol, Sch Geog Sci, BRIDGE, Univ Rd, Bristol BS8 1SS, Avon, England.</t>
  </si>
  <si>
    <t>d.j.lunt@bristol.ac.uk</t>
  </si>
  <si>
    <t>Valdes, Paul/T-2004-2019; Ross, Ian/C-8766-2011; Valdes, Paul J/C-4129-2013; Lunt, Daniel/G-9451-2011</t>
  </si>
  <si>
    <t>Valdes, Paul/0000-0002-1902-3283; Ross, Ian/0009-0004-3099-447X; Lunt, Daniel/0000-0003-3585-6928</t>
  </si>
  <si>
    <t>Natural Environment Research Council [bas010019] Funding Source: researchfish; NERC [bas010019] Funding Source: UKRI</t>
  </si>
  <si>
    <t>0031-0182</t>
  </si>
  <si>
    <t>PALAEOGEOGR PALAEOCL</t>
  </si>
  <si>
    <t>Paleogeogr. Paleoclimatol. Paleoecol.</t>
  </si>
  <si>
    <t>10.1016/j.palaeo.2007.04.004</t>
  </si>
  <si>
    <t>Geography, Physical; Geosciences, Multidisciplinary; Paleontology</t>
  </si>
  <si>
    <t>Physical Geography; Geology; Paleontology</t>
  </si>
  <si>
    <t>199RF</t>
  </si>
  <si>
    <t>WOS:000248712200005</t>
  </si>
  <si>
    <t>Gladstone, R; Flecker, R; Valdes, P; Lunt, D; Markwick, P</t>
  </si>
  <si>
    <t>Gladstone, Rupert; Flecker, Rachel; Valdes, Paul; Lunt, Dan; Markwick, Paul</t>
  </si>
  <si>
    <t>The Mediterranean hydrologic budget from a Late Miocene global climate simulation</t>
  </si>
  <si>
    <t>general circulation models; Messinian salinity crisis; Late Miocene; Mediterranean; north Africa; rivers</t>
  </si>
  <si>
    <t>MESSINIAN SALINITY CRISIS; GLACIAL MAXIMUM CLIMATE; ATMOSPHERIC CO2; RED-SEA; PLIOCENE; MODEL; TRANSITION; EUROPE; BASIN; PALEOCLIMATE</t>
  </si>
  <si>
    <t>During the Late Miocene the Mediterranean experienced a period of extreme salinity fluctuations known as the Messinian Salinity Crisis (MSC). The causes of these high amplitude changes in salinity are not fully understood but are thought to be the result of restriction of flow between the Mediterranean and Atlantic, eustatic sea level change and climate. Results from a new Atmospheric General Circulation Model (AGCM) simulation of Late Miocene climate for the Mediterranean and adjacent regions are presented here. The model, HadAM3, was forced by a Late Miocene global palaeogeography, higher CO, concentrations and prescribed sea surface temperatures. The results show that fluvial freshwater fluxes to the Mediterranean in the Late Miocene were around 3 times greater than for the present day. Most of this water was derived from North African rivers, which fed the Eastern Mediterranean. This increase in runoff arises from a northward shift in the intertropical convergence zone caused by a reduced latitudinal gradient in global sea surface temperatures. The northwards drainage of the Late Miocene Chad Basin also contributes. Numerical models designed to explore Late Miocene salt precipitation regimes in the Mediterranean, which typically make use of river discharge fluxes within a few tens of percent of present-day values, may therefore be grossly underestimating these fluxes. Although the AGCM simulated Late Miocene river discharge is high, the model predicts a smaller net hydrologic budget (river discharge plus precipitation minus evaporation) than for present day. We discuss a possible mechanism by which this change in the hydrologic budget, coupled with a reduced connection between the Mediterranean and the global ocean, could cause the salinity fluctuations of the MSC. (c) 2007 Elsevier B.V. All rights reserved.</t>
  </si>
  <si>
    <t>Univ Bristol, BRIDGE, Bristol BS8 1SS, Avon, England; British Antarctic Survey, Cambridge CB3 0ET, England; Univ Leeds, Petr Syst Evaluat Grp, GETECH, Leeds LS2 9JT, W Yorkshire, England</t>
  </si>
  <si>
    <t>University of Bristol; UK Research &amp; Innovation (UKRI); Natural Environment Research Council (NERC); NERC British Antarctic Survey; University of Leeds</t>
  </si>
  <si>
    <t>Flecker, R (corresponding author), Univ Bristol, BRIDGE, Univ Rd, Bristol BS8 1SS, Avon, England.</t>
  </si>
  <si>
    <t>r.flecker@bristol.ac.uk</t>
  </si>
  <si>
    <t>Valdes, Paul J/C-4129-2013; Valdes, Paul/T-2004-2019; Lunt, Daniel/G-9451-2011; Gladstone, Rupert/C-1086-2013</t>
  </si>
  <si>
    <t>Valdes, Paul/0000-0002-1902-3283; Flecker, Rachel/0000-0002-9369-5328; Lunt, Daniel/0000-0003-3585-6928; Gladstone, Rupert/0000-0002-1582-3857</t>
  </si>
  <si>
    <t>1872-616X</t>
  </si>
  <si>
    <t>10.1016/j.palaeo.2007.03.050</t>
  </si>
  <si>
    <t>WOS:000248712200006</t>
  </si>
  <si>
    <t>Miyake, R; Kawamoto, J; Wei, YL; Kitagawa, M; Kato, I; Kurihara, T; Esaki, N</t>
  </si>
  <si>
    <t>Miyake, Ryoma; Kawamoto, Jun; Wei, Yun-Lin; Kitagawa, Masanari; Kato, Ikunoshin; Kurihara, Tatsuo; Esaki, Nobuyoshi</t>
  </si>
  <si>
    <t>Construction of a low-temperature protein expression system using a cold-adapted bacterium, Shewanella sp strain Ac10, as the host</t>
  </si>
  <si>
    <t>APPLIED AND ENVIRONMENTAL MICROBIOLOGY</t>
  </si>
  <si>
    <t>ESCHERICHIA-COLI; DESULFOTALEA-PSYCHROPHILA; RECOMBINANT PROTEINS; GENE; CLONING; CSPA; PURIFICATION; HYDROLASES; SECRETION; SEDIMENTS</t>
  </si>
  <si>
    <t>A recombinant protein expression system working at low temperatures is expected to be useful for the production of thermolabile proteins. We constructed a low-temperature expression system using an Antarctic cold-adapted bacterium, Shewanella sp. strain Ac10, as the host. We evaluated the promoters for proteins abundantly produced at 4 degrees C in this bacterium to express foreign proteins. We used 27 promoters and a broad-host-range vector, pJRD215, to produce P-lactamase in Shewanella sp. strain Ac10. The maximum yield was obtained when the promoter for putative alkyl hydroperoxide reductase (AhpC) was used and the recombinant cells were grown to late stationary phase. The yield was 91 mg/liter of culture at 4 degrees C and 139 mg/liter of culture at 18 degrees C. We used this system to produce putative peptidases, PepF, LAP, and PepQ, and a putative glucosidase, BgIA, from a psychrophilic bacterium, Desulfotalea psychrophild DSM12343. We obtained 48, 7.1, 28, and 5.4 mg/liter of culture of these proteins, respectively, in a soluble fraction. The amounts of PepF and PepQ produced by this system were greater than those produced by the Escherichia coli T7 promoter system.</t>
  </si>
  <si>
    <t>Kyoto Univ, Chem Res Inst, Uji, Kyoto 6110011, Japan; Takara Bio Inc, Otsu, Shiga 5209143, Japan</t>
  </si>
  <si>
    <t>Kyoto University; Takara Bio Inc.</t>
  </si>
  <si>
    <t>Kurihara, T (corresponding author), Kyoto Univ, Chem Res Inst, Uji, Kyoto 6110011, Japan.</t>
  </si>
  <si>
    <t>kurihara@scl.kyoto-u.ac.jp; esakin@scl.kyoto-u.ac.jp</t>
  </si>
  <si>
    <t>Kurihara, Tatsuo/ACX-5827-2022</t>
  </si>
  <si>
    <t>Kawamoto, Jun/0000-0002-5025-5613; Miyake, Ryoma/0000-0002-8094-1614</t>
  </si>
  <si>
    <t>AMER SOC MICROBIOLOGY</t>
  </si>
  <si>
    <t>1752 N ST NW, WASHINGTON, DC 20036-2904 USA</t>
  </si>
  <si>
    <t>0099-2240</t>
  </si>
  <si>
    <t>APPL ENVIRON MICROB</t>
  </si>
  <si>
    <t>Appl. Environ. Microbiol.</t>
  </si>
  <si>
    <t>AUG</t>
  </si>
  <si>
    <t>10.1128/AEM.00824-07</t>
  </si>
  <si>
    <t>Biotechnology &amp; Applied Microbiology; Microbiology</t>
  </si>
  <si>
    <t>197WP</t>
  </si>
  <si>
    <t>WOS:000248587600018</t>
  </si>
  <si>
    <t>Suontama, J; Karlsen, O; Moren, M; Hemre, GI; Melle, W; Langmyhr, E; Mundheim, H; Ringo, E; Olsen, RE</t>
  </si>
  <si>
    <t>Suontama, J.; Karlsen, O.; Moren, M.; Hemre, G-I; Melle, W.; Langmyhr, E.; Mundheim, H.; Ringo, E.; Olsen, R. E.</t>
  </si>
  <si>
    <t>Growth, feed conversion and chemical composition of Atlantic salmon (Salmo salar L.) and Atlantic halibut (Hippoglossus hippoglossus L.) fed diets supplemented with krill or amphipods</t>
  </si>
  <si>
    <t>AQUACULTURE NUTRITION</t>
  </si>
  <si>
    <t>Atlantic halibut; Atlantic salmon; attractants; fish meal replacement; flesh quality; `krill</t>
  </si>
  <si>
    <t>FATTY-ACID-COMPOSITION; COD GADUS-MORHUA; FISH-MEAL; EUPHAUSIA-SUPERBA; ANTARCTIC KRILL; RAINBOW-TROUT; BODY-COMPOSITION; BLOOD-CHEMISTRY; BETA-OXIDATION; PROTEIN</t>
  </si>
  <si>
    <t>The effects of partial replacement of. fish meal (FM) with meal made from northern krill (Thysanoessa inermis), Antarctic krill (Euphausia superba) or Arctic amphipod (Themsto libellula) as protein source in the diets for Atlantic salmon (Salmo salar L.) and Atlantic halibut (Hippoglossus hippoglossus L.) on growth, feed conversion, macro-nutrient utilization, muscle chemical composition and fish welfare were studied. Six experimental diets were prepared using a low-temperature FM diet as control. The other diets included northern krill where 20, 40 or 60% of the dietary FM protein was replaced with protein from northern krill, and two diets where the FM protein was replaced with protein from Antarctic krill or Arctic amphipod at 40% protein replacement level. All diets were iso-nitrogenous and iso-caloric. Atlantic salmon grew from 410 g to approximately 1500 g during the 160 day experiment, and Atlantic halibut grew from 345 g to 500-600 g during the 150 day experiment. Inclusion of krill in the diets enhanced specific. c growth rate in salmon, especially during the first 100 days (P &lt; 0.01), and in a dose-response manner in halibut for over the 150 day feeding period (P &lt; 0.05). Feed conversion ratio did not differ between dietary treatments, and no difference was found in dry matter digestibility, protein digestibility and fish muscle composition. Good growth rates, blood parameters within normal ranges and low mortalities in all experimental treatments indicted that fish health was not affected either Atlantic salmon or Atlantic halibut fed the various zooplankton diets.</t>
  </si>
  <si>
    <t>Inst Marine Res, N-5024 Bergen, Norway; Natl Inst Nutr &amp; Seafood Res, Bergen, Norway; Norwegian Inst Fisheries &amp; Aquaculture Res, Fyllingsdalen, Norway; Univ Tromso, Norwegian Coll Fishery Sci, Dept Marine Res, N-9001 Tromso, Norway</t>
  </si>
  <si>
    <t>Institute of Marine Research - Norway; UiT The Arctic University of Tromso</t>
  </si>
  <si>
    <t>Suontama, J (corresponding author), Inst Marine Res, POB 1870, N-5024 Bergen, Norway.</t>
  </si>
  <si>
    <t>jormas@imr.no</t>
  </si>
  <si>
    <t>Karlsen, Ørjan/K-6137-2012; Moren, Mari/C-1009-2012</t>
  </si>
  <si>
    <t>Karlsen, Ørjan/0000-0001-5801-4200; Olsen, Rolf Erik/0000-0002-6633-5837; Olsen, Rolf/0000-0001-7523-3165</t>
  </si>
  <si>
    <t>WILEY</t>
  </si>
  <si>
    <t>HOBOKEN</t>
  </si>
  <si>
    <t>111 RIVER ST, HOBOKEN 07030-5774, NJ USA</t>
  </si>
  <si>
    <t>1353-5773</t>
  </si>
  <si>
    <t>1365-2095</t>
  </si>
  <si>
    <t>AQUACULT NUTR</t>
  </si>
  <si>
    <t>Aquac. Nutr.</t>
  </si>
  <si>
    <t>10.1111/j.1365-2095.2007.00466.x</t>
  </si>
  <si>
    <t>Fisheries</t>
  </si>
  <si>
    <t>182ER</t>
  </si>
  <si>
    <t>gold</t>
  </si>
  <si>
    <t>WOS:000247488400001</t>
  </si>
  <si>
    <t>Arroyo, MTK; Till-Bottraud, I; Torres, C; Henríquez, CA; Martínez, J</t>
  </si>
  <si>
    <t>Arroyo, Mary T. K.; Till-Bottraud, Irene; Torres, Cristian; Henriquez, Carolina A.; Martinez, Jaime</t>
  </si>
  <si>
    <t>Display size preferences and foraging habits of high Andean butterflies pollinating Chaetanthera lycopodioides (Asteraceae) in the subnival of the central Chilean Andes</t>
  </si>
  <si>
    <t>ARCTIC ANTARCTIC AND ALPINE RESEARCH</t>
  </si>
  <si>
    <t>HIGH TEMPERATE ANDES; FLOWER VISITATION; FLORAL DISPLAYS; NECTAR PLANTS; COLOR; RATES; COMMUNITY; BEHAVIOR; ECOLOGY; TRAITS</t>
  </si>
  <si>
    <t>In our study, we asked whether butterflies visiting Chaetanthera lycopodioides (Asteraceae) in the subnival at 3450 m a.s.l. in the central Andes prefer larger floral displays. To answer this question, we compared the population distribution of display sizes with the distribution of visited display sizes at two sites. Six high elevation butterflies: Faunula leucoglene (Satyridae) (the dominant species), Hylephila sp. (Hesperiidae), Phulia nymphula (Pieridae), Vanessa terpsichore (Nymphalidae), Tatochila mercedis (Nymphalidae), and Yramea modesta (Nymphalidae) were reported as visitors. Butterflies tended to discriminate against plants with a single open head, preferring larger display sizes at both sites. Butterflies visited few plants per bout (mean: 3.1-4.5) and probed increasingly smaller proportions of the open heads per plant with increasing display size (overall mean: 45.8-48.4%). Results suggest that high elevation butterflies tend to prefer larger display sizes over smaller ones, but final choices are conditioned by the relative abundance of each display size in a population. Although previous studies show that butterflies prefer larger artificial individual flowers over smaller ones, our work appears to constitute the first report of butterfly preference for larger floral displays in any plant species or ecosystem.</t>
  </si>
  <si>
    <t>Univ Chile, Fac Ciencias, IEB, Casilla 653, Santiago, Chile; Univ Grenoble 1, CNRS, UMR 5553, Lab Ecol Alpine, F-38041 Grenoble, France; Univ Concepcion, Dept Bot, Concepcion, Chile</t>
  </si>
  <si>
    <t>Universidad de Chile; Centre National de la Recherche Scientifique (CNRS); CNRS - Institute of Ecology &amp; Environment (INEE); Communaute Universite Grenoble Alpes; Universite Grenoble Alpes (UGA); Universite Savoie Mont Blanc; Universidad de Concepcion</t>
  </si>
  <si>
    <t>Arroyo, MTK (corresponding author), Univ Chile, Fac Ciencias, IEB, Casilla 653, Santiago, Chile.</t>
  </si>
  <si>
    <t>southern@abello.dic.uchile.cl</t>
  </si>
  <si>
    <t>Guzmán, Cristian/ABC-1739-2020</t>
  </si>
  <si>
    <t>TAYLOR &amp; FRANCIS LTD</t>
  </si>
  <si>
    <t>ABINGDON</t>
  </si>
  <si>
    <t>2-4 PARK SQUARE, MILTON PARK, ABINGDON OR14 4RN, OXON, ENGLAND</t>
  </si>
  <si>
    <t>1523-0430</t>
  </si>
  <si>
    <t>1938-4246</t>
  </si>
  <si>
    <t>ARCT ANTARCT ALP RES</t>
  </si>
  <si>
    <t>Arct. Antarct. Alp. Res.</t>
  </si>
  <si>
    <t>10.1657/1523-0430(06-017)</t>
  </si>
  <si>
    <t>Environmental Sciences; Geography, Physical</t>
  </si>
  <si>
    <t>Environmental Sciences &amp; Ecology; Physical Geography</t>
  </si>
  <si>
    <t>217GJ</t>
  </si>
  <si>
    <t>WOS:000249936100001</t>
  </si>
  <si>
    <t>Bader, MY; Rietkerk, M; Bregt, AK</t>
  </si>
  <si>
    <t>Bader, Maaike Y.; Rietkerk, Max; Bregt, Arnold K.</t>
  </si>
  <si>
    <t>Vegetation structure and temperature regimes of tropical alpine treelines</t>
  </si>
  <si>
    <t>CLIMATE-CHANGE; POSITIVE FEEDBACK; TREE; TIMBERLINE; ECOTONES; LIMITS; BOUNDARY; PHOTOINHIBITION; REGENERATION; BIOMONITORS</t>
  </si>
  <si>
    <t>Alpine treeline ecotones can be gradual transitions, abrupt boundaries, or patchy mosaics, and these different patterns may indicate important processes and dynamic properties. We present observed spatial patterns of a wide range of tropical treelines and try to explain these patterns. Treelines were studied at seven sites in the tropical and subtropical Andes (Argentina, Bolivia, Ecuador, and Venezuela) and on a Hawaiian volcano (Haleakala, Maui). Treeline vegetation structure was described using transects perpendicular to the treeline, and air and soil temperatures were measured above and below the forest boundary. Temperature fluctuations were much larger and the average temperature was higher in alpine vegetation than in forest. Most treelines were abrupt, with surprisingly similar patterns across a wide geographical range. This abruptness could result from positive feedback processes mediated by the differences in microclimate between forest and paramo. Our data is not conclusive about the relative importance of microclimate as opposed to fire in mediating such feedbacks. However, our extensive set of comparable data from different sites in a large geographical region is an important step toward a better understanding of the nature and dynamics of tropical alpine treelines.</t>
  </si>
  <si>
    <t>Univ Wageningen &amp; Res Ctr, Ctr Geoinformat, NL-6700 AA Wageningen, Netherlands; Univ Utrecht, Copernicus Inst, Dept Environm Sci, NL-3508 TC Utrecht, Netherlands</t>
  </si>
  <si>
    <t>Wageningen University &amp; Research; Utrecht University</t>
  </si>
  <si>
    <t>Bader, MY (corresponding author), Carl von Ossietzky Univ Oldenburg, Inst Environm &amp; Biol Sci, POB 2503, D-26111 Oldenburg, Germany.</t>
  </si>
  <si>
    <t>maaike.bader@uni-oldenburg.de</t>
  </si>
  <si>
    <t>Rietkerk, Max/H-6235-2011; Bader, Maaike Y./M-7998-2013</t>
  </si>
  <si>
    <t>Bader, Maaike Y./0000-0003-4300-7598; Bregt, Arnold/0000-0002-5138-5954; Rietkerk, Max/0000-0002-2698-3848</t>
  </si>
  <si>
    <t>10.1657/1523-0430(06-055)[BADER]2.0.CO;2</t>
  </si>
  <si>
    <t>Green Submitted</t>
  </si>
  <si>
    <t>WOS:000249936100002</t>
  </si>
  <si>
    <t>Bewley, D; Pomeroy, JW; Essery, RLH</t>
  </si>
  <si>
    <t>Bewley, D.; Pomeroy, J. W.; Essery, R. L. H.</t>
  </si>
  <si>
    <t>Solar radiation transfer through a subarctic shrub canopy</t>
  </si>
  <si>
    <t>BOREAL FOREST; SNOWMELT; MODEL; BALANCE; TRANSMISSION; VARIABILITY; ALASKA; TUNDRA</t>
  </si>
  <si>
    <t>Much of the low Arctic is covered with shrubs that are partially buried by snow in winter and become exposed during melt. This study presents measurements and modeling of shortwave radiation reflection and extinction by a deciduous shrub canopy emerging from a melting snowcover in the mountains of the Yukon Territory, Canada. Shrubs shade most of the snow surface at low solar elevation angles, so only a fraction of the incoming radiation reaches the surface, but there is greater direct shortwave transmission to the surface in gaps between shrubs for higher solar elevations. A simple model is developed to incorporate the changing contributions of sun-fit gaps, shaded gaps, and shrubs to the landscape-averaged (areal) transmission and reflection of shortwave radiation. The areal transmissivity and albedo in this model are lower than in a two-stream approximation that neglects gap shading. A simple shadow parameterization is proposed for calculating shrub tundra snowmelt rates and surface energy balances in hydrological and land-surface models.</t>
  </si>
  <si>
    <t>Univ Wales, Ctr Glaciol, Inst Geog &amp; Earth Sci, Aberystwyth SY23 3DB, Dyfed, Wales</t>
  </si>
  <si>
    <t>Aberystwyth University</t>
  </si>
  <si>
    <t>Bewley, D (corresponding author), Univ Saskatchewan, Ctr Hydrol, Dept Geog, 117 Sci Pl, Saskatoon, SK S7N 5B8, Canada.</t>
  </si>
  <si>
    <t>john.pomeroy@usask.ca</t>
  </si>
  <si>
    <t>Pomeroy, John W/IZE-0873-2023; Pomeroy, John W/A-8589-2013</t>
  </si>
  <si>
    <t>Pomeroy, John W/0000-0002-4782-7457; Pomeroy, John W/0000-0002-4782-7457; Essery, Richard/0000-0003-1756-9095</t>
  </si>
  <si>
    <t>INST ARCTIC ALPINE RES</t>
  </si>
  <si>
    <t>BOULDER</t>
  </si>
  <si>
    <t>UNIV COLORADO, BOULDER, CO 80309 USA</t>
  </si>
  <si>
    <t>10.1657/1523-0430(06-023)[BEWLEY]2.0.CO;2</t>
  </si>
  <si>
    <t>WOS:000249936100003</t>
  </si>
  <si>
    <t>Bocquet, F; Helmig, D; Oltmans, SJ</t>
  </si>
  <si>
    <t>Bocquet, Florence; Helmig, Detlev; Oltmans, Samuel J.</t>
  </si>
  <si>
    <t>Ozone in interstitial air of the mid-latitude, seasonal snowpack at Niwot Ridge, Colorado</t>
  </si>
  <si>
    <t>SOUTH-POLE; PHOTOCHEMICAL PRODUCTION; BOUNDARY-LAYER; NATURAL-CONVECTION; NO2 PRODUCTION; ICE SURFACES; CHEMISTRY; SUMMIT; FLUXES; GREENLAND</t>
  </si>
  <si>
    <t>Ozone in interstitial air was studied in the seasonal, mid-latitude snowpack at a subalpine forest site at Niwot Ridge, Colorado, from January to June 2004. Sampling techniques were developed for continuous, vertical gradient measurements of ozone and temperature at four depths in the snowpack. During this time period, ozone in ambient air ranged from 15 to 80 ppbv, while in the snowpack ozone mixing ratios generally were below 5 ppbv, showed little variability, and decreased to less than 10% of ambient air levels within the first 10-20 cm below the surface. This ozone gradient (ambient air-snowpack air) appeared to be independent of solar radiation cycles. These findings are in contrast to similar studies in the polar snowpack, where a much deeper penetration of ozone into the snowpack and strong dependencies of the ozone gradient on incoming solar radiation levels has been reported. These observations imply that ozone levels in the seasonal, mid-latitude snowpack are determined by different processes, and overall are lower than in the year-round snowpack. A new question that needs to be addressed is to what degree these contrasting findings are caused by differences in the physical properties of these snowpacks (which will affect gas exchange processes), their chemical composition, and by the influence of the substrate below the snow and soil-snowpack-atmosphere gas exchange processes.</t>
  </si>
  <si>
    <t>Univ Colorado, Inst Arctic &amp; Alpine Res, Boulder, CO 80309 USA; NOAA, ESRL, Global Monitoring Div, Boulder, CO 80305 USA</t>
  </si>
  <si>
    <t>University of Colorado System; University of Colorado Boulder; National Oceanic Atmospheric Admin (NOAA) - USA</t>
  </si>
  <si>
    <t>Helmig, D (corresponding author), Univ Colorado, Inst Arctic &amp; Alpine Res, UCB 450, Boulder, CO 80309 USA.</t>
  </si>
  <si>
    <t>Detiev.Helmig@colorado.edu</t>
  </si>
  <si>
    <t>Oltmans, Samuel/AAC-8987-2022</t>
  </si>
  <si>
    <t>10.1657/1523-0430(06-027)[BOQUET]2.0.CO;2</t>
  </si>
  <si>
    <t>WOS:000249936100004</t>
  </si>
  <si>
    <t>Brock, BE; Wolfe, BB; Edwards, TWD</t>
  </si>
  <si>
    <t>Brock, Bronwyn E.; Wolfe, Brent B.; Edwards, Thomas W. D.</t>
  </si>
  <si>
    <t>Characterizing the hydrology of shallow floodplain lakes in the Slave River Delta, NWT, Canada, using water isotope tracers</t>
  </si>
  <si>
    <t>LEVEL VARIABILITY; PEACE; CLASSIFICATION; BALANCE; BASINS</t>
  </si>
  <si>
    <t>The relative importance of major hydrological processes on thaw season 2003 lakewater balances in the Slave River Delta, NWT, Canada, is characterized using.. water isotope tracers and total suspended sediment (TSS) analyses. A suite of 41 lakes from three previously recognized biogeographical zones-outer delta, mid-delta, and apex-were sampled immediately following the spring melt, during summer, and in the fall of 2003. Oxygen and hydrogen isotope compositions were evaluated in the context I of an isotopic framework calculated from 2003 hydroclimatic data. Our analysis reveals that flooding from the Slave River and Great Slave Lake dominated early spring lakewater balances in outer and most mid-delta lakes, as also indicated by elevated TSS concentrations (&gt; 0.01 g L-1). In contrast, the input of snowmelt was strongest on all apex and some mid-delta lakes. After the spring melt, all delta lakes underwent heavy-isotope enrichment due to evaporation, although lakes flooded by the Slave River and Great Slave Lake during the spring freshet continued to be more depleted isotopically than those dominated by snowmelt input. The isotopic signatures of lakes with direct connections to the Slave River or Great Slave Lake varied throughout the season in response to the nature of the connection. Our findings provide the basis for identifying three groups of lakes based on the major factors that control their water balances: (1) flood-dominated (n = 10), (2) evaporation-dominated (n = 25), and (3) exchange-dominated (n = 6) lakes. Differentiation of the hydrological processes that influence Slave River Delta lakewater balances is essential for ongoing hydroecological and paleohydrological studies, and ultimately, for teasing apart the relative influences of variations in local climate and Slave River hydrology.</t>
  </si>
  <si>
    <t>Univ Waterloo, Dept Earth &amp; Environm Sci, Waterloo, ON N2L 3G1, Canada; Wilfrid Laurier Univ, Dept Geog &amp; Environm Studies, Waterloo, ON N2L 3C5, Canada</t>
  </si>
  <si>
    <t>University of Waterloo; Wilfrid Laurier University</t>
  </si>
  <si>
    <t>Brock, BE (corresponding author), Univ Waterloo, Dept Earth &amp; Environm Sci, Waterloo, ON N2L 3G1, Canada.</t>
  </si>
  <si>
    <t>bbrock@sciborg.uwaterloo.ca</t>
  </si>
  <si>
    <t>10.1657/1523-0430(06-026)[BROCK]2.0.CO;2</t>
  </si>
  <si>
    <t>Bronze, Green Submitted</t>
  </si>
  <si>
    <t>WOS:000249936100005</t>
  </si>
  <si>
    <t>Dowdeswell, EK; Dowdeswell, JA; Cawkwell, F</t>
  </si>
  <si>
    <t>Dowdeswell, E. K.; Dowdeswell, J. A.; Cawkwell, F.</t>
  </si>
  <si>
    <t>On the glaciers of Bylot Island, Nunavut, Arctic Canada</t>
  </si>
  <si>
    <t>The present extent of glacier ice on Bylot Island, Arctic Canada, is mapped using high-resolution Landsat 7 ETM+ satellite imagery. The island is 43% ice covered, with 4783 km(2) of ice. Most ice is centered on the northwest-southeast-tren ding Byam Martin Mountains, flowing outward as radial valley glaciers and piedmont lobes. The largest glacier is 49 km long and 6.5 kin wide. The majority of glaciers terminate on land, but many have margins ending in lakes and two calve into the sea. The late summer snowline, mapped from satellite imagery, is highest along the southern and central parts of the island at about 1050 in, with lower values along the east-northeastern margin of the ice down to about 700 in. These snowline-elevation differences suggest a predominant moisture source from the northeast. Several valley glaciers and piedmont lobes have deformed medial moraines and ice-surface foliation suggesting past surge activity. Ten glaciers are interpreted to be of possible surge-type. The modern extent of glaciers is compared with that of two earlier time intervals. First, we have mapped glacier margins in several areas of Bylot Island from aerial photographs acquired in 1958 and 1961. Secondly, former positions of ice fronts are mapped from moraine systems deposited during the Neoglacial maximum and identified on satellite data. Glaciers have retreated from 0.9 to 1.8 km since the Neoglacial maximum about 120 years ago, with most retreat occurring between 1958/1961 and 2001. Approximately 253 km(2) or 5% of the 1958/1961 ice-covered area has been lost. Overall, marked glacier retreat has occurred, although a few glaciers, possibly of surge-type, show small readvances. This retreat is consistent with observed climate warming in the Canadian Arctic, especially since the 1960s.</t>
  </si>
  <si>
    <t>Univ Cambridge, Scott Polar Res Inst, Cambridge CB2 1ER, England; Univ Alberta, Dept Earth &amp; Atmospher Sci, Edmonton, AB T6G 2E3, Canada</t>
  </si>
  <si>
    <t>University of Cambridge; University of Alberta</t>
  </si>
  <si>
    <t>Dowdeswell, EK (corresponding author), Univ Cambridge, Scott Polar Res Inst, Cambridge CB2 1ER, England.</t>
  </si>
  <si>
    <t>e.k.dowdeswell@bris.ac.uk</t>
  </si>
  <si>
    <t>Cawkwell, Fiona/N-2424-2019</t>
  </si>
  <si>
    <t>Cawkwell, Fiona/0000-0002-7365-8909; Dowdeswell, Julian/0000-0003-1369-9482</t>
  </si>
  <si>
    <t>10.1657/1523-0430(05-123)[DOWDESWELL]2.0.CO;2</t>
  </si>
  <si>
    <t>WOS:000249936100006</t>
  </si>
  <si>
    <t>Hoye, TT; Ellebjerg, SM; Philipp, M</t>
  </si>
  <si>
    <t>Hoye, Toke Thomas; Ellebjerg, Susanne Molgaard; Philipp, Marianne</t>
  </si>
  <si>
    <t>The impact of climate on flowering in the High Arctic -: The case of Dryas in a hybrid zone</t>
  </si>
  <si>
    <t>REPRODUCTIVE PHENOLOGY; SEXUAL STRATEGIES; PLANTS; OCTOPETALA; RESPONSES; GROWTH; SNOWMELT; TUNDRA; RANUNCULACEAE; HYPOTHESIS</t>
  </si>
  <si>
    <t>The extreme seasonality of the High Arctic creates very different flowering conditions for plants in areas of early and late snowmelt. Therefore, future reproductive responses to climate change may be dependent on the timing of snowmelt. We combined genetic, morphological, and long-term monitoring data on Dryas from a High Arctic hybrid zone of D. integrifolia and D. octopetala to assess whether climate variation influenced flowering differently in areas of early and late snowmelt, and whether this could have a genetic origin. We found a non-linear relationship between timing of snowmelt and flowering. The duration of the period between snowmelt and the onset of flowering (pre-floration interval) varied with the date of snowmelt. Shorter pre-floration intervals were associated with warmer average temperature during the pre-floration intervals in both early and late melting plots. However, the pre-floration interval was much shorter in early than in late plots at the same average temperature. Likewise, the interannual variation in flower abundance differed between early and late melting plots. Flower abundance was negatively influenced by frost after snowmelt in the year of flowering in early plots. In late plots, flower abundance was positively influenced by the length of the previous growing season. We identified two morpho-types in the study area, but their distribution and genetic differentiation was not related to the snowmelt gradient. We conclude that the different flowering responses found along the snowmelt gradient are a result of environmental variation. Based on our results and projected climatic change for the study area, we predict that the onset of flowering will advance and flower abundance will increase in areas of early snowmelt. In areas of late snowmelt, the onset of flowering will remain unchanged or be delayed and flower abundance will decrease.</t>
  </si>
  <si>
    <t>Univ Copenhagen, Inst Biol, Dept Populat Biol, DK-2100 Copenhagen, Denmark; Univ Aarhus, Dept Arctic Environm, Natl Environm Res Inst, DK-4000 Roskilde, Denmark; Univ Copenhagen, Inst Biol, Dept Terr Ecol, DK-1353 Copenhagen, Denmark</t>
  </si>
  <si>
    <t>University of Copenhagen; Aarhus University; University of Copenhagen</t>
  </si>
  <si>
    <t>Hoye, TT (corresponding author), Univ Copenhagen, Inst Biol, Dept Populat Biol, Univ Pk 15, DK-2100 Copenhagen, Denmark.</t>
  </si>
  <si>
    <t>toh@dmu.dk</t>
  </si>
  <si>
    <t>Hoye, Toke T./ABF-7808-2020</t>
  </si>
  <si>
    <t>Hoye, Toke T./0000-0001-5387-3284</t>
  </si>
  <si>
    <t>10.1657/1523-0430(06-018)[HOYE]2.0.CO;2</t>
  </si>
  <si>
    <t>WOS:000249936100007</t>
  </si>
  <si>
    <t>Huss, M; Sugiyama, S; Bauder, A; Funk, M</t>
  </si>
  <si>
    <t>Huss, Matthias; Sugiyama, Shin; Bauder, Andreas; Funk, Martin</t>
  </si>
  <si>
    <t>Retreat scenarios of Unteraargletscher, Switzerland, using a combined ice-flow mass-balance model</t>
  </si>
  <si>
    <t>GLACIER MELT; BERNESE ALPS; CLIMATE-CHANGE; TEMPERATURE; SENSITIVITY; STORGLACIAREN; MORAINES; ABLATION; AREA</t>
  </si>
  <si>
    <t>The future evolution of Unteraargletscher, a large valley glacier in the Swiss Alps, is assessed for the period 2005 to 2050 using a flowline model. Detailed measurements of surface velocity from the last decade allow us to relate ice flux to glacier thickness and width. Mass balance is calculated using a distributed temperature-index model calibrated with ice volume changes derived independently from comparison of repeated digital elevation models. The model was validated for the period 1961 to 2005 and showed good agreement between the simulated and observed evolution of surface geometry. Regional climate scenarios with seasonal resolution were used to investigate the anticipated response of Unteraargletscher to future climate changes. Three mass balance scenarios were defined, corresponding to 2.5%, 50%, and 97.5% quantiles of a statistical analysis of 16 different climate model results. We present a forecast of the future extent of Unteraargletscher in the next five decades and analyze relevant parameters with respect to the past. The model predicts a retreat of the glacier terminus of 800-1025 in by 2035, and of 1250-2300 in by 2050. The debris coverage of the glacier tongue reduces the retreat rate by a factor of three. The thinning, rate increased by 50-183% by 2050 depending on the scenario applied, compared to the period 1997 to 2005.</t>
  </si>
  <si>
    <t>ETH, Versuchsanstalt Wasserbau, CH-8092 Zurich, Switzerland; Hokkaido Univ, Inst Low Temp Sci, Sapporo, Hokkaido 0600819, Japan</t>
  </si>
  <si>
    <t>Swiss Federal Institutes of Technology Domain; ETH Zurich; Hokkaido University</t>
  </si>
  <si>
    <t>Huss, M (corresponding author), ETH, Versuchsanstalt Wasserbau, CH-8092 Zurich, Switzerland.</t>
  </si>
  <si>
    <t>mhuss@vaw.baug.ethz.ch</t>
  </si>
  <si>
    <t>Huss, Matthias/B-1057-2008; Huss, Matthias/A-3829-2010; Huss, Matthias/O-1399-2019; Huss, Matthias/JLL-6340-2023; Sugiyama, Shin/C-2511-2012</t>
  </si>
  <si>
    <t>Huss, Matthias/0000-0002-2377-6923;</t>
  </si>
  <si>
    <t>10.1657/1523-0430(06-036)[HUSS]2.0.CO;2</t>
  </si>
  <si>
    <t>WOS:000249936100008</t>
  </si>
  <si>
    <t>Jansson, P; Pettersson, R</t>
  </si>
  <si>
    <t>Jansson, Peter; Pettersson, Rickard</t>
  </si>
  <si>
    <t>Spatial and temporal characteristics of a long mass balance record, Storglaciaren, Sweden</t>
  </si>
  <si>
    <t>GLACIER RESPONSE; ENERGY-BALANCE; MODEL; ICE</t>
  </si>
  <si>
    <t>Glacier fluctuations constitute an important indicator for climate change, both current and past. Glacier mass balance measurements are made to correctly reflect the state of the glacier. Very few studies have been made to study the representability of each point measurement to the average mass balance of a particular glacier, an exercise that requires a large number of measurements. Such studies are rare due to the practical constraints and costs involved in collecting data. On Storglaciaren, Sweden, a very dense system of measurements of both distributed winter (similar to 100 points km) and summer (similar to 15 points km(-2)) balance allows a spatial analysis of the mass balance components. The results Show that local summer balance values are strongly correlated to the average summer balance value of the glacier. Local winter balance values are also generally well correlated to the average winter balance value, but small areas on the glacier exhibit no correlation. These areas correspond to wind-eroded areas of low accumulation on the glacier. The local net balance values are also well correlated to the average net balance value, indicating that the effect of the summer balance is strong and, at least partly, counter-balancing the spatial inhomogeneities in the local spatial winter balance values. These results show that detailed knowledge of both mass balance components and their spatial variability may be necessary to safely use a sparse system of measurements points. On Storglaciaren, this is especially true for winter balance measurements since the spatial snow distribution is highly variable and not necessarily representative of the glacier average at each measurement point. The results strictly apply to Storglaciaren but similar effects should be present on most glaciers in a similar setting; the results thus serve as an example of conditions that can be expected on a typical mid-latitude to subarctic glacier.</t>
  </si>
  <si>
    <t>Stockholm Univ, Dept Phys Geog &amp; Quaternary, Tarfala Res Stn, SE-10691 Stockholm, Sweden; Uppsala Univ, Dept Earth Sci, SE-75236 Uppsala, Sweden</t>
  </si>
  <si>
    <t>Stockholm University; Uppsala University</t>
  </si>
  <si>
    <t>Jansson, P (corresponding author), Stockholm Univ, Dept Phys Geog &amp; Quaternary, Tarfala Res Stn, SE-10691 Stockholm, Sweden.</t>
  </si>
  <si>
    <t>peter.jansson@natgeo.su.se</t>
  </si>
  <si>
    <t>Jansson, Peter/B-5761-2012</t>
  </si>
  <si>
    <t>Jansson, Peter/0000-0002-8832-8806</t>
  </si>
  <si>
    <t>10.1657/1523-0430(06-041)[JANSSON]2.0.CO;2</t>
  </si>
  <si>
    <t>WOS:000249936100009</t>
  </si>
  <si>
    <t>Koch, O; Tscherko, D; Kandeler, E</t>
  </si>
  <si>
    <t>Koch, Oliver; Tscherko, Dagmar; Kandeler, Ellen</t>
  </si>
  <si>
    <t>Seasonal and diurnal net methane emissions from organic soils of the Eastern Alps, Austria: Effects of soil temperature, water balance, and plant biomass</t>
  </si>
  <si>
    <t>SOUTHERN ROCKY-MOUNTAINS; ATMOSPHERIC METHANE; NORTHERN PEATLANDS; CH4 EMISSIONS; CO2; WETLAND; FLUXES; TUNDRA; N2O; VEGETATION</t>
  </si>
  <si>
    <t>Although the contribution of methane emission to global change is well recognized, analyses of net methane emissions derived from alpine regions are rare. Therefore, three fen sites differing in water balance and plant community, as well as one dry meadow site, were used to study the importance of soil temperature, water table, and plant biomass as controlling factors for net methane emission in the Eastern Alps, Europe, during a period of 24 months. Average methane emissions during snow-free periods in the fen ranged between 19 and 116 mg CH4 m(-2)d(-1).. Mean wintertime emissions were much lower and accounted for 18 to 59% of annual flux. The alpine dry meadow functions as a methane sink during snow-free periods, with mean flux of -2.1 mg CH4 m(-2) d(-1) (2003) and -1.0 mg CH4 m(-2) d(-1) (2004). Seasonal methane emissions of the fen were related to soil temperature and groundwater table. During the snow-free periods the water table was the main control for seasonal methane emission. The net methane flux related to water table was much higher for the distinctly drier year 2003 than for the wetter year 2004. Methane emissions differed diurnally at sites where the water table position was high or very low. The influence of total above-ground plant biomass on methane emission was apparent only for those sites with high water table positions. Seasonal and diurnal methane uptake of the dry meadow was related to soil temperature and water-filled pore space, whereas plant biomass did not significantly influence methane fluxes. Our studies gave evidence that fens in the Eastern Alps act as a source of methane throughout the whole year and that a dry meadow site acts as a net methane sink during snow-free periods.</t>
  </si>
  <si>
    <t>Univ Hohenheim, Inst Soil Sci, D-70599 Stuttgart, Germany</t>
  </si>
  <si>
    <t>University Hohenheim</t>
  </si>
  <si>
    <t>Koch, O (corresponding author), Univ Hohenheim, Inst Soil Sci, Emil Wolff Str 27, D-70599 Stuttgart, Germany.</t>
  </si>
  <si>
    <t>tscherko@uni-hohenheim.de</t>
  </si>
  <si>
    <t>Turan, Veysel/G-7722-2011</t>
  </si>
  <si>
    <t>Kandeler, Ellen/0000-0002-2854-0012</t>
  </si>
  <si>
    <t>10.1657/1523-0430(06-020)[KOCH]2.0.CO;2</t>
  </si>
  <si>
    <t>WOS:000249936100010</t>
  </si>
  <si>
    <t>Lindgren, Å; Eriksson, O; Moen, J</t>
  </si>
  <si>
    <t>Lindgren, Asa; Eriksson, Ove; Moen, Jon</t>
  </si>
  <si>
    <t>The impact of disturbance and seed availability on germination of Alpine vegetation in the Scandinavian mountains</t>
  </si>
  <si>
    <t>PLANT-PLANT INTERACTIONS; MICROSITE LIMITATION; MAMMALIAN HERBIVORES; RECRUITMENT; POPULATIONS; COMMUNITY; GROWTH; BANK; SIZE</t>
  </si>
  <si>
    <t>The availability of seeds and microsites are limiting factors for many plant species of different vegetation types. We have investigated the existence of such limitations in two habitats, an alpine heath and a subalpine birch forest, where abiotic factors are hypothesized to be the main determining factor of plant species distributions. Both habitats are characterized by a short growing season and cold temperatures, and the alpine heath is also constrained by low productivity. A seed addition experiment including six vascular plants, selected by different functional traits and occurrence, showed that seed limitation was an important factor in these habitats. Removal of the aboveground biomass (controlled disturbance) increased germination only for some species. The effect of reindeer presence was found to be of less importance, probably due to low and varying densities of reindeer. To conclude, we found that seed limitation was the most important factor limiting the distribution of our studied species in the two alpine environments.</t>
  </si>
  <si>
    <t>Stockholm Univ, Dept Bot, SE-10691 Stockholm, Sweden; Umea Univ, Dept Ecol &amp; Environm Sci, SE-90187 Umea, Sweden</t>
  </si>
  <si>
    <t>Stockholm University; Umea University</t>
  </si>
  <si>
    <t>Lindgren, Å (corresponding author), Stockholm Univ, Dept Bot, SE-10691 Stockholm, Sweden.</t>
  </si>
  <si>
    <t>asa.lindgren@botan.su.se</t>
  </si>
  <si>
    <t>10.1657/1523-0430(06-024)[LINDGREN]2.0.CO;2</t>
  </si>
  <si>
    <t>WOS:000249936100011</t>
  </si>
  <si>
    <t>Moran, TA; Marshall, SJ; Evans, EC; Sinclair, KE</t>
  </si>
  <si>
    <t>Moran, Tara A.; Marshall, Shawn J.; Evans, Erin C.; Sinclair, Kate E.</t>
  </si>
  <si>
    <t>Altitudinal gradients of stable isotopes in lee-slope precipitation in the Canadian Rocky Mountains</t>
  </si>
  <si>
    <t>SNOW; CLIMATE; OXYGEN; WATER; PATTERNS; HYDROGEN; RECORD</t>
  </si>
  <si>
    <t>Fresh snow samples were collected following seven snow accumulation events along an altitudinal transect of the Robertson Valley. This glacierized valley is on the eastern slopes of the Canadian Rockies at the Continental Divide and receives precipitation from both westerly (Pacific) air masses and from easterly (upslope) systems. Snow samples were collected over two winter seasons and were analyzed for delta O-18, revealing altitudinal gradients that ranged from -0.3 parts per thousand/100 m to +1.8 parts per thousand/100 m. Five of seven snow events had positive (inverse) isotopic gradients with altitude: 180 enrichment at higher altitudes. Surface and upper-air meteorological data were analyzed to classify the type of weather systems bringing precipitation to the area for each accumulation event. Three storm classifications were developed: westerly, upslope, and mixed/northwesterly systems. Positive delta O-18-elevation gradients were found under strong westerly and northwesterly flow, when the Robertson Valley acts as a leeward slope, while more conventional negative gradients correspond with upslope flow, when easterly winds make the Robertson Valley a windward snow deposition environment. We interpret the inverse isotopic gradients as evidence of ongoing Rayleigh distillation as westerly systems cross the Continental Divide. Position on the Rayleigh distillation curve had a strong influence on the magnitude of delta O-18-elevation gradients.</t>
  </si>
  <si>
    <t>Univ Calgary, Dept Geog, Calgary, AB T2N 1N4, Canada; McGill Univ, Dept Atmospher &amp; Ocean Sci, Montreal, PQ H3A 2K6, Canada</t>
  </si>
  <si>
    <t>University of Calgary; McGill University</t>
  </si>
  <si>
    <t>Moran, TA (corresponding author), Univ Calgary, Dept Geog, Calgary, AB T2N 1N4, Canada.</t>
  </si>
  <si>
    <t>tamoran@ucalgary.ca</t>
  </si>
  <si>
    <t>10.1657/1523-0430(06-022)[MORAN]2.0.CO;2</t>
  </si>
  <si>
    <t>WOS:000249936100012</t>
  </si>
  <si>
    <t>Pullman, ER; Jorgenson, MT; Shur, Y</t>
  </si>
  <si>
    <t>Pullman, Erik R.; Jorgenson, M. Torre; Shur, Yuri</t>
  </si>
  <si>
    <t>Thaw settlement in soils of the Arctic Coastal Plain, Alaska</t>
  </si>
  <si>
    <t>On the Beaufort Coastal Plain of northern Alaska, thaw settlement in permafrost soils occurs whenever natural or human disturbances result in an increase in the depth of seasonally thawed soil (the active layer). Knowledge of the potential magnitude of thaw settlement is important for assessing the long-term recovery of disturbed land and for developing rehabilitation plans and performance standards. To address this need, we analyzed thaw strain and thaw depth data from soil cores distributed across the central Beaufort Coastal Plain to evaluate potential thaw settlement at landscape (e.g. terrain units) and regional (e.g. ecodistricts) scales in connection with various oilfield studies during the period 1998-2003. Mean thaw strain values ranged from 1% for meander active channel deposits to 55% for delta inactive overbank deposits, and tended to be highest at 1-2 m below the ground surface. The potential thaw settlement of specific terrain units was evaluated based on thaw strain of soils and the range of changes in active layer depths typically found after disturbance. Mean estimates for potential thaw settlement for an active layer adjustment to I 10 cm after disturbance varied from similar to 0 cm in sandy soils with thick active layers associated with meander active channel and overbank deposits to 86 cm in very ice-rich silty soils with thin active layers associated with delta inactive overbank deposits. Potential thaw settlement also varied by region, with values for terrain units tending to be higher in the central Beaufort Coastal Plain (Prudhoe Bay and Kuparuk Oilfield areas) than in the western Beaufort Coastal Plain. The highest estimate for potential thaw settlement was 103 cm for delta inactive overbank deposits on the Colville Delta. The thawing of ice wedges will further contribute to thaw settlement and effect local hydrology and topography following thermokarst.</t>
  </si>
  <si>
    <t>ABR Inc, Environm Res &amp; Serv, Fairbanks, AK 99708 USA; Univ Alaska Fairbanks, Fairbanks, AK 99775 USA</t>
  </si>
  <si>
    <t>University of Alaska System; University of Alaska Fairbanks</t>
  </si>
  <si>
    <t>Pullman, ER (corresponding author), ABR Inc, Environm Res &amp; Serv, POB 80410, Fairbanks, AK 99708 USA.</t>
  </si>
  <si>
    <t>epullman@abrinc.com; jorgenson@abrinc.com</t>
  </si>
  <si>
    <t>10.1657/1523-0430(05-045)[PULLMAN]2.0.CO;2</t>
  </si>
  <si>
    <t>WOS:000249936100013</t>
  </si>
  <si>
    <t>Sjögersten, S; Melander, E; Wookey, PA</t>
  </si>
  <si>
    <t>Sjoegersten, Sofie; Melander, Erik; Wookey, Philip A.</t>
  </si>
  <si>
    <t>Depth distribution of net methanotrophic activity at a mountain birch forest-tundra heath ecotone, northern Sweden</t>
  </si>
  <si>
    <t>ATMOSPHERIC METHANE CONSUMPTION; FENNOSCANDIAN MOUNTAINS; CLIMATIC-CHANGE; PINE FOREST; SOIL; OXIDATION; BOREAL; FLUXES; N2O; CH4</t>
  </si>
  <si>
    <t>Methanotrophy (the bacterial oxidation of CH4) in soils is the major biological sink for atmospheric CH4. Here we present results from a study designed to quantify the role of the physical diffusion barrier to CH4, through surface soils, as a factor affecting methanotrophy. We used the mountain birch forest-tundra heath ecotone in subarctic northern Sweden as our study system. Our results show that, although CH4 fluxes were generally low (around -20 mu mol m(-2) h(-1); a net flux from atmosphere to soil), the two adjacent communities responded in contrasting ways to in situ experimental reduction of the diffusion barrier (removal of the top 50 mm of soil): Uptake increased by 40% in forest soil in association with the removal, whereas it decreased marginally (by 10%) in tundra heath. Investigations of the depth-distribution of CH4 oxidation in vitro revealed maximum rates at the top of the mineral soil for the forest site, whereas at the tundra heath this was more evenly spread throughout the organic horizon. The contrasting physicochemical properties and methanotroph activity in the organic horizons together explain the contrasting responses to the removal treatment. They also illustrate the potential role of vegetation for methane oxidation around this ecotone, exerted through its influence on the depth and properties of the organic horizons in these subarctic soils.</t>
  </si>
  <si>
    <t>Univ Nottingham, Div Agr &amp; Environm Sci, Sch Biosci, Nottingham NG7 2RD, England; Uppsala Univ, Dept Earth Sci, S-75236 Uppsala, Sweden; Univ Stirling, Sch Biol &amp; Environm Sci, Stirling FK9 4LA, Scotland</t>
  </si>
  <si>
    <t>University of Nottingham; Uppsala University; University of Stirling</t>
  </si>
  <si>
    <t>Sjögersten, S (corresponding author), Univ Nottingham, Div Agr &amp; Environm Sci, Sch Biosci, Biol Bldg,Univ Pk, Nottingham NG7 2RD, England.</t>
  </si>
  <si>
    <t>sofie.sjogersten@nottingham.ac.uk</t>
  </si>
  <si>
    <t>Wookey, Philip/J-4786-2012; Wookey, Philip/AAA-6271-2020</t>
  </si>
  <si>
    <t>Wookey, Philip/0000-0001-5957-6424</t>
  </si>
  <si>
    <t>10.1657/1523-0430(06-009)</t>
  </si>
  <si>
    <t>WOS:000249936100014</t>
  </si>
  <si>
    <t>Tang, Y; Xie, JS; Sun, H</t>
  </si>
  <si>
    <t>Tang, Ya; Xie, Jia-Sui; Sun, Hui</t>
  </si>
  <si>
    <t>Pollination ecology of Pedicularis muscoides H. L.!Li subsp himalayca Yamazaki from alpine areas of western Sichuan, China</t>
  </si>
  <si>
    <t>SCROPHULARIACEAE; OROBANCHACEAE; DYNAMICS; BIOLOGY</t>
  </si>
  <si>
    <t>The pollination ecology of small, short, and two-flowered Pedicularis muscoides subsp. himalayca was studied during its full blooming period in alpine areas of western Sichuan Province, China, part of the putative origin and diversification center of the genus. Pedicularis muscoides subsp. himalayca was nototribically pollinated exclusively by queens of four bumblebee species (Bombus Latr.) that foraged for nectar on flowers in an upright position. Of the four Bombus species, B. friseanus Smith occurred in the highest frequency and was the major pollinator of P. muscoides subsp. himalayca. It comprised 81% of the bumblebees collected on P. muscoides subsp. himalayca. Queen bumblebees stood on the ground while foraging on flowers, which has not previously been reported in other Pedicularis species. During the study period almost all the foragers were confined to the studied subspecies and very occasionally visited other associated blooming species at the study site. The low plant height; outcurved terminal flowers, short-tubed, erostrate, and copiously nectariferous flowers; corolla morphology; and highly synchronized short-blooming period of P. muscoides subsp. himalayca made this plant well adapted to pollination by queen bumblebees within a short growing season. Thus this study provides evidence for coadaptation between Pedicularis and bumblebee pollinators.</t>
  </si>
  <si>
    <t>Sichuan Univ, Lab Biodivers &amp; Environm Studies, Dept Environm Sci, Chengdu 610065, Sichuan, Peoples R China</t>
  </si>
  <si>
    <t>Sichuan University</t>
  </si>
  <si>
    <t>Tang, Y (corresponding author), Sichuan Univ, Lab Biodivers &amp; Environm Studies, Dept Environm Sci, 24,S Sect 1,1st Ring Rd, Chengdu 610065, Sichuan, Peoples R China.</t>
  </si>
  <si>
    <t>tangya999@gmail.com</t>
  </si>
  <si>
    <t>10.1657/1523-0430(06-008)[TANG]2.0.CO;2</t>
  </si>
  <si>
    <t>WOS:000249936100015</t>
  </si>
  <si>
    <t>Trivedi, MR; Browne, MK; Berry, PM; Dawson, TP; Morecroft, MD</t>
  </si>
  <si>
    <t>Trivedi, Mandar R.; Browne, Mervyn K.; Berry, Pamela M.; Dawson, Terence P.; Morecroft, Michael D.</t>
  </si>
  <si>
    <t>Projecting climate change impacts on mountain snow cover in central Scotland from historical patterns</t>
  </si>
  <si>
    <t>SWISS ALPS; MODEL; VARIABILITY; PHENOLOGY; DURATION; GRADIENT</t>
  </si>
  <si>
    <t>Cumulative days of seasonal snow cover at Ben Lawers National Nature Reserve, a mountain site in Scotland, are related to altitude, temperature, and precipitation using a 45-year record from a nearby climate station. Multiple linear regression is used to model interannual variation in snow cover duration as a function of winter mean daily temperature and monthly precipitation. Snow cover duration is closely linked to temperature, while precipitation contributes a positive effect among winters of similar temperature mode. Snow cover duration at mid to upper altitudes (600-900 in) responds most strongly to variation in mean daily temperature. A 1 degrees C rise in temperature at the station corresponds to a 15-day reduction in snow cover at 130 in and a 33-day reduction at 750 in. The empirical relationship is applied to climate change scenarios from the HadRM3 regional climate model. Under a 'low' greenhouse gas emissions scenario, snow cover in the 2050s is projected to be reduced by 93% at 130 in, 43% at 600 in and 21% at 1060 in, while under a 'high' emissions scenario these reductions are projected to be 100%, 68%, and 32%, snow cover reduction on snow-dependent respectively. The potential impact of vegetation is modeled. The results suggest a future decline in climax vegetation of international conservation importance.</t>
  </si>
  <si>
    <t>Univ Oxford, Ctr Environm, Environm Change Inst, Oxford OX1 3QY, England; Milton Ardtalnaig, Aberfeldy PH15 2HX, Perth, Scotland; Ctr Ecol &amp; Hydrol, Wallingford OX10 8BB, Oxon, England; Lancaster Environm Ctr, Ctr Ecol &amp; Hydrol, Lancaster LA1 4AP, England</t>
  </si>
  <si>
    <t>University of Oxford; UK Centre for Ecology &amp; Hydrology (UKCEH); Lancaster University; UK Centre for Ecology &amp; Hydrology (UKCEH)</t>
  </si>
  <si>
    <t>Berry, PM (corresponding author), Univ Oxford, Ctr Environm, Environm Change Inst, Dyson Perrins Bldg,S Parks Rd, Oxford OX1 3QY, England.</t>
  </si>
  <si>
    <t>mandar.trivedi@gmail.com; pam.berry@eci.ox.ac.uk; t.dawson@ed.ac.uk; mdm@ceh.ac.uk</t>
  </si>
  <si>
    <t>Dawson, Terence Peter/E-4724-2011; Trivedi, Mandar/IQV-7534-2023</t>
  </si>
  <si>
    <t>Dawson, Terence Peter/0000-0002-4314-1378; Berry, Pam/0000-0002-1201-072X</t>
  </si>
  <si>
    <t>10.1657/1523-0430(06-006)[TRIVEDI]2.0.CO;2</t>
  </si>
  <si>
    <t>WOS:000249936100016</t>
  </si>
  <si>
    <t>Yeloff, D; Mauquoy, D; Barber, K; Way, S; van Geel, B; Turney, CSM</t>
  </si>
  <si>
    <t>Yeloff, Dan; Mauquoy, Dmitri; Barber, Keith; Way, Susannah; van Geel, Bas; Turney, Chris S. M.</t>
  </si>
  <si>
    <t>Volcanic ash deposition and long-term vegetation change on subantarctic Marion Island</t>
  </si>
  <si>
    <t>TERRESTRIAL HABITATS; CLIMATE-CHANGE; ERUPTION; HISTORY; POLLEN; BP</t>
  </si>
  <si>
    <t>A c. 5500 year record of peatland development and vegetation change was generated from a core recovered from an Agrostis magellanica peat bog on subantarctic Marion Island, using palynomorph, plant macrofossil, and tephra analyses. Two tephra horizons (both 17 cm thick) were identified and dated to ca. 2900 cal. BP and ca. 1700 cal. BP. Succession of the vegetation as a consequence of tephra deposition, particularly by the pioneer Azorella selago, appears to have been very slow, lasting as long as c. 700 yr. The slow pace of vegetation succession highlights the sensitivity of the indigenous Marion Island flora to environmental change, and the vulnerability to the spread of alien invasive species.</t>
  </si>
  <si>
    <t>Univ Amsterdam, Inst Biodivers &amp; Ecosyst Dynam, Res Grp Paleoecol &amp; Landscape Ecol, NL-1098 SM Amsterdam, Netherlands; Univ Aberdeen, Dept Geog &amp; Environm, Aberdeen AB24 3UF, Scotland; Univ Southampton, Sch Geog, Southampton SO17 1BJ, Hants, England; Univ Wollongong, GeoQuEST Res Ctr, Sch Earth &amp; Environm Sci, Wollongong, NSW 2522, Australia</t>
  </si>
  <si>
    <t>University of Amsterdam; University of Aberdeen; University of Southampton; University of Wollongong</t>
  </si>
  <si>
    <t>Yeloff, D (corresponding author), Univ Amsterdam, Inst Biodivers &amp; Ecosyst Dynam, Res Grp Paleoecol &amp; Landscape Ecol, Kruislaan 318, NL-1098 SM Amsterdam, Netherlands.</t>
  </si>
  <si>
    <t>yeloff@science.uva.nl</t>
  </si>
  <si>
    <t>Mauquoy, Dmitri/AAF-1044-2019; Turney, Chris/P-8701-2018</t>
  </si>
  <si>
    <t>Mauquoy, Dmitri/0000-0002-8056-8258; Turney, Chris/0000-0001-6733-0993</t>
  </si>
  <si>
    <t>10.1657/1523-0430(06-040)[YELOFF]2.0.CO;2</t>
  </si>
  <si>
    <t>WOS:000249936100017</t>
  </si>
  <si>
    <t>Brown, J; Nelson, FE; Webber, PJ</t>
  </si>
  <si>
    <t>Brown, Jerry; Nelson, Frederick E.; Webber, Patrick J.</t>
  </si>
  <si>
    <t>Richard K. Haugen 1933-2006 - In memoriam</t>
  </si>
  <si>
    <t>Biographical-Item</t>
  </si>
  <si>
    <t>Int Permafrost Assoc, Woods Hole, MA 02543 USA; Univ Delaware, Dept Geog, Newark, DE 19716 USA</t>
  </si>
  <si>
    <t>University of Delaware</t>
  </si>
  <si>
    <t>Brown, J (corresponding author), Int Permafrost Assoc, POB 7, Woods Hole, MA 02543 USA.</t>
  </si>
  <si>
    <t>jerrybrown@igc.org; fnelson@udel.edu; webber@msu.edu</t>
  </si>
  <si>
    <t>10.1657/1523-0430(2007)[MEA]2.0.CO;2</t>
  </si>
  <si>
    <t>WOS:000249936100018</t>
  </si>
  <si>
    <t>Marshall, CP; Leuko, S; Coyle, CM; Walter, MR; Burns, BP; Neilan, BA</t>
  </si>
  <si>
    <t>Marshall, Craig P.; Leuko, Stefan; Coyle, Candace M.; Walter, Malcolm R.; Burns, Brendan P.; Neilan, Brett A.</t>
  </si>
  <si>
    <t>Carotenoid analysis of halophilic archaea by resonance Raman Spectroscopy</t>
  </si>
  <si>
    <t>ASTROBIOLOGY</t>
  </si>
  <si>
    <t>ANTARCTIC HABITATS; IN-SITU; SPECTRA; MARS; CYANOBACTERIA; EXTANT; WATER; TOOL</t>
  </si>
  <si>
    <t>Recently, halite and sulfate evaporate rocks have been discovered on Mars by the NASA rovers, Spirit and Opportunity. It is reasonable to propose that halophilic microorganisms could have potentially flourished in these settings. If so, biomolecules found in microorganisms adapted to high salinity and basic pH environments on Earth may be reliable biomarkers for detecting life on Mars. Therefore, we investigated the potential of Resonance Raman (RR) spectroscopy to detect biomarkers derived from microorganisms adapted to hypersaline environments. RR spectra were acquired using 488.0 and 514.5 nm excitation from a variety of halophilic archaea, including Halobacterium salinarum NRC-1, Halococcus morrhuae, and Natrinema pallidum. It was clearly demonstrated that RR spectra enhance the chromophore carotenoid molecules in the cell membrane with respect to the various protein and lipid cellular components. RR spectra acquired from all halophilic archaea investigated contained major features at approximately 1000, 1152, and 1505 cm(-1). The bands at 1505 cm (-1) and 1152 cm (-1) are due to in-phase C=C (v(1)) and C-C stretching (v (2)) vibrations of the polyene chain in carotenoids. Additionally, in-plane rocking modes of CH3 groups attached to the polyene chain coupled with C-C bonds occur in the 1000 cm (-1) region. We also investigated the RR spectral differences between bacterioruberin and bacteriorhodopsin as another potential biomarker for hypersaline environments. By comparison, the RR spectrum acquired from bacteriorhodopsin is much more complex and contains modes that can be divided into four groups: the C=C stretches ( 1600-1500 cm -1), the CCH in-plane rocks (1400-1250 cm(-1)), the C-C stretches ( 1250-1100 cm(-1)), and the hydrogen out-of-plane wags ( 1000-700 cm (-1)). RR spectroscopy was shown to be a useful tool for the analysis and remote in situ detection of carotenoids from halophilic archaea without the need for large sample sizes and complicated extractions, which are required by analytical techniques such as high performance liquid chromatography and mass spectrometry.</t>
  </si>
  <si>
    <t>Univ Sydney, Sch Chem, Vibrat Spectroscopy Facil, Sydney, NSW 2006, Australia; Macquarie Univ, Australian Ctr Astrobiol, Sydney, NSW 2109, Australia; Univ Texas, Dept Chem, San Antonio, TX 78285 USA; Univ New S Wales, Sch Biotechnol &amp; Biomol Sci, Sydney, NSW, Australia</t>
  </si>
  <si>
    <t>University of Sydney; Macquarie University; University of Texas System; University of Texas Health Science Center at San Antonio; University of New South Wales Sydney</t>
  </si>
  <si>
    <t>Marshall, CP (corresponding author), Univ Sydney, Sch Chem, Vibrat Spectroscopy Facil, Sydney, NSW 2006, Australia.</t>
  </si>
  <si>
    <t>c.marshall@chem.usyd.edu.au</t>
  </si>
  <si>
    <t>Neilan, Brett A/I-5767-2012; BURNS, BRENDAN P/B-5093-2009</t>
  </si>
  <si>
    <t>Neilan, Brett A/0000-0001-6113-772X; BURNS, BRENDAN/0000-0002-2962-2597</t>
  </si>
  <si>
    <t>MARY ANN LIEBERT, INC</t>
  </si>
  <si>
    <t>NEW ROCHELLE</t>
  </si>
  <si>
    <t>140 HUGUENOT STREET, 3RD FL, NEW ROCHELLE, NY 10801 USA</t>
  </si>
  <si>
    <t>1531-1074</t>
  </si>
  <si>
    <t>1557-8070</t>
  </si>
  <si>
    <t>Astrobiology</t>
  </si>
  <si>
    <t>10.1089/ast.2006.0097</t>
  </si>
  <si>
    <t>Astronomy &amp; Astrophysics; Biology; Geosciences, Multidisciplinary</t>
  </si>
  <si>
    <t>Astronomy &amp; Astrophysics; Life Sciences &amp; Biomedicine - Other Topics; Geology</t>
  </si>
  <si>
    <t>205WC</t>
  </si>
  <si>
    <t>WOS:000249144300005</t>
  </si>
  <si>
    <t>Löhr, A; Bourke, TL; Lane, AP; Myers, PC; Parshley, SC; Stark, AA; Tothill, NFH</t>
  </si>
  <si>
    <t>Loehr, A.; Bourke, T. L.; Lane, A. P.; Myers, P. C.; Parshley, S. C.; Stark, A. A.; Tothill, N. F. H.</t>
  </si>
  <si>
    <t>AST/RO 13CO(J=→1) and 12CO(J=4→3) mapping of southern Spitzer c2d small clouds and cores</t>
  </si>
  <si>
    <t>ASTROPHYSICAL JOURNAL SUPPLEMENT SERIES</t>
  </si>
  <si>
    <t>ISM : clouds; ISM : molecules; radiative transfer; radio lines : ISM; stars : formation; submillimeter</t>
  </si>
  <si>
    <t>NEARBY DENSE CORES; ANTARCTIC-SUBMILLIMETER-TELESCOPE; DARK CLOUDS; MOLECULAR OUTFLOW; STARLESS CORE; DISCOVERY; CHAMELEON; CATALOG; (CO)-O-18; (CO)-C-13</t>
  </si>
  <si>
    <t>Forty molecular cloud cores in the southern hemisphere from the initial Spitzer Space Telescope Cores-to-Disks ( c2d) Legacy program source list have been surveyed in (CO)-C-13( 2 -&gt; 1), (CO)-C-12( 4 -&gt; 3), and (CO)-C-12( 7 -&gt; 6) with the Antarctic Submillimeter Telescope and Remote Observatory ( AST/RO). The cores, 10 of which contain embedded sources, are located mostly in the Vela, Ophiuchus, Lupus, Chamaeleon, Musca, and Scorpius complexes. (CO)-C-12( 7 -&gt; 6) emission was undetected in all 40 clouds. We present data of 40 sources in (CO)-C-13( 2 -&gt; 1) and (CO)-C-12( 4 -&gt; 3), significant upper limits of (CO)-C-12( 7 -&gt; 6), as well as a statistical analysis of the observed properties of the clouds. We find the typical (CO)-C-13( 2 -&gt; 1) line width to be 2.0 km s(-1) for cores with embedded stars and 1.8 km s(-1) for all others. The typical 12CO( 4 -&gt; 3) line width is 2.6-3.7 km s(-1) for cores with known embedded sources, and 1.6-2.3 km s(-1) for all others. The average (CO)-C-13 column density derived from the line intensities was found to be 1.9 x 10(15) cm(-2) for cores with embedded stars and 1.5 x 10(15) cm(-2) for all others. The average kinetic temperature in the molecular cores, determined through a large velocity gradient analysis of a set of nine cores, has an average lower limit of 16 K and an average upper limit of 26K. The average molecular hydrogen density has an average lower limit of 10(2.9) cm(-3) and an average upper limit of 10(3.3) cm(-3) for all cores. For a different subset of nine cores, we have derived masses. They range from 4 to 255M(circle dot) . Overall, our c2d sample of southern molecular cores has a range of properties ( line width, column density, size, mass, embedded stars) similar to those of past studies.</t>
  </si>
  <si>
    <t>Harvard Smithsonian Ctr Astrophys, Cambridge, MA 02138 USA; Cornell Univ, Ithaca, NY 14853 USA</t>
  </si>
  <si>
    <t>Smithsonian Astrophysical Observatory; Harvard University; Smithsonian Institution; Cornell University</t>
  </si>
  <si>
    <t>Löhr, A (corresponding author), Harvard Smithsonian Ctr Astrophys, 60 Garden St, Cambridge, MA 02138 USA.</t>
  </si>
  <si>
    <t>aloehr@cfa.harvard.edu</t>
  </si>
  <si>
    <t>Tothill, Nicholas/O-2682-2019; Tothill, Nicholas/M-6379-2016</t>
  </si>
  <si>
    <t>Tothill, Nicholas/0000-0002-9931-5162</t>
  </si>
  <si>
    <t>IOP PUBLISHING LTD</t>
  </si>
  <si>
    <t>BRISTOL</t>
  </si>
  <si>
    <t>TEMPLE CIRCUS, TEMPLE WAY, BRISTOL BS1 6BE, ENGLAND</t>
  </si>
  <si>
    <t>0067-0049</t>
  </si>
  <si>
    <t>1538-4365</t>
  </si>
  <si>
    <t>ASTROPHYS J SUPPL S</t>
  </si>
  <si>
    <t>Astrophys. J. Suppl. Ser.</t>
  </si>
  <si>
    <t>10.1086/517608</t>
  </si>
  <si>
    <t>199DO</t>
  </si>
  <si>
    <t>WOS:000248676600006</t>
  </si>
  <si>
    <t>Helmig, D; Bocquet, F; Cohen, L; Oltmans, SJ</t>
  </si>
  <si>
    <t>Helmig, Detlev; Bocquet, Florence; Cohen, Lana; Oltmans, Samuel J.</t>
  </si>
  <si>
    <t>Ozone uptake to the polar snowpack at Summit, Greenland</t>
  </si>
  <si>
    <t>ATMOSPHERIC ENVIRONMENT</t>
  </si>
  <si>
    <t>ozone; interstitial air; polar snowpack; atmosphere-snowpack gas exchange; snow-photochemistry; wind pumping</t>
  </si>
  <si>
    <t>SURFACE SNOW; PHOTOCHEMICAL NO; AIR; CHEMISTRY; FLUXES; EXCHANGE; SUNRISE; DESTRUCTION; ATMOSPHERE; SPECIATION</t>
  </si>
  <si>
    <t>The uptake of atmospheric ozone to the polar, year-round snowpack on glacial ice was studied at Summit, Greenland during three experiments in 2003, 2004, and 2005. Ozone was measured at up to three depths in the snowpack, on the surface, and above the surface at three heights on a tower along with supporting meteorological parameters. Ozone in interstitial air decreased with depth, albeit ozone gradients showed a high variation depending on environmental conditions of solar radiation and wind speed. Under low irradiance levels, up to 90% of ozone was preserved up to I m depth in the snowpack. Ozone depletion rates increased significantly with the seasonal and diurnal cycle of solar irradiance, resulting in only 10% of ozone remaining in the snowpack following solar noon during summertime. Faster snowpack air exchange from wind pumping resulted in smaller above-surface-to-within snowpack ozone gradients. These data indicate that the uptake of ozone to polar snowpack is strongly dependent on solar irradiance and wind pumping. Ozone deposition fluxes to the polar snowpack are consequently expected to follow incoming solar radiation levels and to exhibit diurnal and seasonal cycles. The Summit observations are in stark contrast to recent findings in the seasonal, midlatitude snowpack [Bocquet, F., Helmig, D., Oltmans, S.J., 2007. Ozone in the inid-latitude snowpack at Niwot Ridge, Colorado. Arctic, Antarctic and Alpine Research, in press], where mostly light-independent ozone behavior was observed. These contrasting results imply different ozone chemistry and snowpack-atmosphere gas exchange in the snow-covered polar, glacial conditions compared to the temperate, mid-latitude environment. (C) 2007 Published by Elsevier Ltd.</t>
  </si>
  <si>
    <t>Univ Colorado, INSTAAR, Boulder, CO 80309 USA; NOAA, Earth Syst Res LAb, Boulder, CO 80305 USA</t>
  </si>
  <si>
    <t>Helmig, D (corresponding author), Univ Colorado, INSTAAR, UCB 450, Boulder, CO 80309 USA.</t>
  </si>
  <si>
    <t>Detlev.Helmig@colorado.edu</t>
  </si>
  <si>
    <t>PERGAMON-ELSEVIER SCIENCE LTD</t>
  </si>
  <si>
    <t>OXFORD</t>
  </si>
  <si>
    <t>THE BOULEVARD, LANGFORD LANE, KIDLINGTON, OXFORD OX5 1GB, ENGLAND</t>
  </si>
  <si>
    <t>1352-2310</t>
  </si>
  <si>
    <t>1873-2844</t>
  </si>
  <si>
    <t>ATMOS ENVIRON</t>
  </si>
  <si>
    <t>Atmos. Environ.</t>
  </si>
  <si>
    <t>10.1016/j.atmosenv.2006.06.064</t>
  </si>
  <si>
    <t>Environmental Sciences; Meteorology &amp; Atmospheric Sciences</t>
  </si>
  <si>
    <t>Environmental Sciences &amp; Ecology; Meteorology &amp; Atmospheric Sciences</t>
  </si>
  <si>
    <t>203PL</t>
  </si>
  <si>
    <t>WOS:000248986400006</t>
  </si>
  <si>
    <t>Anastasio, C; Galbavy, ES; Hutterli, MA; Burkhart, JF; Friel, DK</t>
  </si>
  <si>
    <t>Anastasio, Cort; Galbavy, Edward S.; Hutterli, Manuel A.; Burkhart, John F.; Friel, Donna K.</t>
  </si>
  <si>
    <t>Photoformation of hydroxyl radical on snow grains at Summit, Greenland</t>
  </si>
  <si>
    <t>snow chemistry; OH; hydrogen peroxide; nitrate; organic carbon</t>
  </si>
  <si>
    <t>ATMOSPHERIC BOUNDARY-LAYER; HYDROGEN-PEROXIDE H2O2; ICE CORES; PHOTOCHEMICAL PRODUCTION; ARCTIC TROPOSPHERE; SURFACE SNOW; FORMALDEHYDE; AIR; CHEMISTRY; ALERT</t>
  </si>
  <si>
    <t>We measured the photoformation of hydroxyl radical ((OH)-O-center dot) on snow grains at Summit, Greenland during the spring and summer. Midday rates of (OH)-O-center dot formation in the snow phase in the summer range from 130 to 610nmoIL(-1) h(-1), expressed relative to the liquid equivalent volume of snow. Calculated formation rates of snow-grain (OH)-O-center dot based on the photolysis of hydrogen peroxide and nitrate agree well with our measured rates during summer, indicating that there are probably not other major sources of (OH)-O-center dot under these conditions. Throughout both the spring and summer, HOOH is by far the dominant source of snow-grain (OH)-O-center dot; on average, HOOH produces approximately 100 times more (OH)-O-center dot than does NO Rates of (OH)-O-center dot photoformation have a strong seasonal dependence and increase by approximately a factor of 10 between early spring and summer at midday. The rate of (OH)-O-center dot photoformation on snow grains decreases rapidly with depth in the snowpack, with approximately 90% of photoformation occurring within the top 10cm, although (OH)-O-center dot formation occurs to depths below 20cm. The formation of (OH)-O-center dot on snow grains likely initiates a suite of reactions in the snowpack, including the transformation of organic carbon (OC) and oxidation of halides. The reaction of (OH)-O-center dot with OC probably forms a number of volatile organic compounds (VOCs) that are potentially emitted into the atmospheric boundary layer. Indeed, our measured rates of (OH)-O-center dot photoformation on snow grains are large enough that they could account for previously reported fluxes of VOCs from the snowpack at Summit, although the relative importance of thermal desorption and photochemical production for most of these VOCs still needs to be determined. (C) 2007 Elsevier Ltd. All rights reserved.</t>
  </si>
  <si>
    <t>Univ Calif Davis, Dept Land Air &amp; Water Resources, Atmospher Sci Program, Davis, CA 95616 USA; Univ Arizona, Dept Hydrol &amp; Water Resources, Tucson, AZ 85721 USA; British Antarctic Survey, Div Phys Sci, Cambridge CB3 0ET, England</t>
  </si>
  <si>
    <t>University of California System; University of California Davis; University of Arizona; UK Research &amp; Innovation (UKRI); Natural Environment Research Council (NERC); NERC British Antarctic Survey</t>
  </si>
  <si>
    <t>Anastasio, C (corresponding author), Univ Calif Davis, Dept Land Air &amp; Water Resources, Atmospher Sci Program, 1 Sheilds Ave, Davis, CA 95616 USA.</t>
  </si>
  <si>
    <t>canastasio@ucdavis.edu</t>
  </si>
  <si>
    <t>Burkhart, John/B-7095-2008; Burkhart, John/AAB-4744-2021</t>
  </si>
  <si>
    <t>Burkhart, John/0000-0002-5587-1693; Burkhart, John/0000-0002-5587-1693; galbavy, stefan/0000-0001-9503-0971</t>
  </si>
  <si>
    <t>NERC [bas010016] Funding Source: UKRI; Natural Environment Research Council [bas010016] Funding Source: researchfish</t>
  </si>
  <si>
    <t>10.1016/j.atmosenv.2006.12.011</t>
  </si>
  <si>
    <t>WOS:000248986400010</t>
  </si>
  <si>
    <t>Sjostedt, SJ; Huey, LG; Tanner, DJ; Peischl, J; Chen, G; Dibb, JE; Lefer, B; Hutterli, MA; Beyersdorf, AJ; Blake, NJ; Blake, DR; Sueper, D; Ryerson, T; Burkhart, J; Stohl, A</t>
  </si>
  <si>
    <t>Sjostedt, S. J.; Huey, L. G.; Tanner, D. J.; Peischl, J.; Chen, G.; Dibb, J. E.; Lefer, B.; Hutterli, M. A.; Beyersdorf, A. J.; Blake, N. J.; Blake, D. R.; Sueper, D.; Ryerson, T.; Burkhart, J.; Stohl, A.</t>
  </si>
  <si>
    <t>Observations of hydroxyl and the sum of peroxy radicals at Summit, Greenland during summer 2003</t>
  </si>
  <si>
    <t>HOx; Greenland; polar; photochemistry; hydroxyl radical; summit</t>
  </si>
  <si>
    <t>ABSORPTION CROSS-SECTIONS; PARTICLE DISPERSION MODEL; SOUTH-POLE; OZONE DESTRUCTION; HYDROGEN-PEROXIDE; SURFACE SNOW; CHEMISTRY; OH; LAYER; AIR</t>
  </si>
  <si>
    <t>The first measurements of peroxy (HO2 + RO2) and hydroxyl (OH) radicals above the arctic snowpack were collected during the summer 2003 campaign at Summit, Greenland. The median measured number densities for peroxy and hydroxyl radicals were 2.2 x 10(8) Mol cm(-3) and 6.4 x 10(6) mol cm(-3), respectively. The observed peroxy radical values are in excellent agreement (R-2 = 0.83, M/O = 1.06) with highly constrained model predictions. However, calculated hydroxyl number densities are consistently more than a factor of 2 lower than the observed values. These results indicate that our current understanding of radical sources and sinks is in accord with our observations in this environment but that there may be a mechanism that is perturbing the (HO2 + RO2)/OH ratio. This observed ratio was also found to depend on meteorological conditions especially during periods of high winds accompanied by blowing snow. Backward transport model simulations indicate that these periods of high winds were characterized by rapid transport (1-2 days) of marine boundary layer air to Summit. These data suggest that the boundary layer photochemistry at Summit may be periodically impacted by halogens. (C) 2007 Published by Elsevier Ltd.</t>
  </si>
  <si>
    <t>Georgia Inst Technol, Sch Earth &amp; Atmospher Sci, Atlanta, GA 30332 USA; NASA, Langley Res Ctr, Hampton, VA 23681 USA; Univ New Hampshire, Inst Study Earth Oceans &amp; Space, Durham, NH 03824 USA; Univ Houston, Dept Geosci, Houston, TX 77204 USA; Univ Arizona, Dept Hydrol &amp; Water Resources, Tucson, AZ 85721 USA; British Antarctic Survey, Div Phys Sci, Cambridge CB3 0ET, England; Univ Calif Irvine, Dept Chem, Irvine, CA 92697 USA; NOAA, Aeron Lab, Boulder, CO 80305 USA; Unicv Calif Merced, Sch Engn, Merced, CA 95344 USA; Norwegian Inst Air Res, N-2027 Kjeller, Norway</t>
  </si>
  <si>
    <t>University System of Georgia; Georgia Institute of Technology; National Aeronautics &amp; Space Administration (NASA); NASA Langley Research Center; University System Of New Hampshire; University of New Hampshire; University of Houston System; University of Houston; University of Arizona; UK Research &amp; Innovation (UKRI); Natural Environment Research Council (NERC); NERC British Antarctic Survey; University of California System; University of California Irvine; National Oceanic Atmospheric Admin (NOAA) - USA; University of California System; University of California Merced; NILU</t>
  </si>
  <si>
    <t>Huey, LG (corresponding author), Georgia Inst Technol, Sch Earth &amp; Atmospher Sci, Atlanta, GA 30332 USA.</t>
  </si>
  <si>
    <t>greg.huey@eas.gatech.edu</t>
  </si>
  <si>
    <t>Stohl, Andreas/A-7535-2008; Lefer, Barry L/B-5417-2012; Beyersdorf, Andreas J/N-1247-2013; Burkhart, John/AAB-4744-2021; Ryerson, Tom/AAA-8399-2021; Lefer, Barry/X-9091-2019; Ryerson, Thomas/C-9611-2009; Sjostedt, Steven J/B-5032-2015; Peischl, Jeff/E-7454-2010</t>
  </si>
  <si>
    <t>Stohl, Andreas/0000-0002-2524-5755; Lefer, Barry L/0000-0001-9520-5495; Burkhart, John/0000-0002-5587-1693; Lefer, Barry/0000-0001-9520-5495; Ryerson, Thomas/0000-0003-2800-7581; Blake, Donald/0000-0002-8283-5014; Peischl, Jeff/0000-0002-9320-7101</t>
  </si>
  <si>
    <t>10.1016/j.atmosenv.2006.06.065</t>
  </si>
  <si>
    <t>WOS:000248986400011</t>
  </si>
  <si>
    <t>Helmig, D; Oltmans, SJ; Carlson, D; Lamarque, JF; Jones, A; Labuschagne, C; Anlauf, K; Hayden, K</t>
  </si>
  <si>
    <t>Helmig, Detlev; Oltmans, Samuel J.; Carlson, Daniel; Lamarque, Jean-Francois; Jones, Anna; Labuschagne, Casper; Anlauf, Kurt; Hayden, Katherine</t>
  </si>
  <si>
    <t>A review of surface ozone in the polar regions</t>
  </si>
  <si>
    <t>ozone photochemistry; diurnal ozone cycles; seasonal ozone cycles; long-term ozone trends; snowpack-atmosphere; interactions</t>
  </si>
  <si>
    <t>MARINE BOUNDARY-LAYER; TROPOSPHERIC OZONE; SOUTH-POLE; PHOTOCHEMICAL PRODUCTION; BACKGROUND OZONE; HIGH-LATITUDES; CLIMATE-CHANGE; ISCAT 2000; GREENLAND; DEPLETION</t>
  </si>
  <si>
    <t>Surface ozone records from ten polar research stations were investigated for the dependencies of ozone on radiative processes, snow-photochemisty, and. synoptic and stratospheric transport. A total of 146 annual data records for the Arctic sites Barrow, Alaska; Summit, Greenland; Alert, Canada; Zeppelinfjellet, Norway; and the Antarctic stations Halley, McMurdo, Neumayer, Sanae, Syowa, and South Pole were analyzed. Mean ozone at the Northern Hemisphere (NH) stations (excluding Summit) is similar to 5ppbv higher than in Antarctica. Statistical analysis yielded best estimates for the projected year 2005 median annual ozone mixing ratios, which for the Arctic stations were 33.5 ppbv at Alert, 28.6 ppbv at Barrow, 46.3ppbv ppb at Summit and 33.7ppbv at Zeppelinfjellet. For the Antarctic stations the corresponding ozone mixing ratios were 21.6 ppbv at Halley, 27.0 ppbv at McMurdo, 24.9 ppbv at Neumayer, 27.2 ppbv at Sanae, 29.4 ppbv at South Pole, and 25.8 ppbv at Syowa. At both Summit (3212m asl) and South Pole (2830m asl), annual mean ozone is higher than at the lower elevation and coastal stations. A trend analysis revealed that all sites in recent years have experienced low to moderate increases in surface ozone ranging from 0.02 to 0.26 ppbv yr(-1), albeit none of these changes were found to be statistically significant trends. A seasonal trend analysis showed above-average increases in ozone during the spring and early summer periods for both Arctic (Alert, Zeppelinfjellet) and Antarctic (McMurdo, Neumayer, South Pole) sites. In contrast, at Barrow, springtime ozone has been declining. All coastal stations experience springtime episodes with rapid depletion of ozone in the boundary layer, attributable to photochemically catalyzed ozone depletion from halogen chemistry. This effect is most obvious at Barrow, followed by Alert. Springtime depletion episodes are less pronounced at Antarctic stations. At South Pole, during the Antarctic spring and summer, photochemical ozone production yields frequent episodes with enhanced surface ozone. Other Antarctic stations show similar, though less frequent spring and summertime periods with enhanced ozone. The Antarctic data provide evidence that austral spring and summertime ozone production in Antarctica is widespread, respectively, affects all stations at least through transport events. This ozone production contributes to a several ppbv enhancement in the annual mean ozone over the Antarctic plateau; however, it is not the determining process in the Antarctic seasonal ozone cycle. Although Summit and South Pole have many similarities in their environmental conditions, this ozone production does not appear to be of equal importance at Summit. Amplitudes of diurnal, summertime ozone cycles at these polar sites are weaker than at lower latitude locations. Amplitudes of seasonal ozone changes are larger in the Southern Hemisphere (by similar to 5 ppbv), most likely due to less summertime photochemical ozone loss and more transport of ozone-rich air to the Arctic during the NH spring and summer months. (C) 2007 Elsevier Ltd. All rights reserved.</t>
  </si>
  <si>
    <t>Univ Colorado, INSTAAR, Boulder, CO 80309 USA; NOAA, Boulder, CO 80303 USA; Natl Ctr Atmospher Res, Boulder, CO 80307 USA; British Antarctic Survey, Cambridge CB3 0ET, England; Sci &amp; Technol Branch Environm Canada, Toronto, ON M3H 5TA, Canada</t>
  </si>
  <si>
    <t>University of Colorado System; University of Colorado Boulder; National Oceanic Atmospheric Admin (NOAA) - USA; National Center Atmospheric Research (NCAR) - USA; UK Research &amp; Innovation (UKRI); Natural Environment Research Council (NERC); NERC British Antarctic Survey; Environment &amp; Climate Change Canada</t>
  </si>
  <si>
    <t>Helmig, D (corresponding author), Univ Colorado, INSTAAR, Boulder, CO 80309 USA.</t>
  </si>
  <si>
    <t>Lamarque, Jean-Francois/L-2313-2014; Oltmans, Samuel/AAC-8987-2022</t>
  </si>
  <si>
    <t>Labuschagne, Casper/0000-0002-7125-0029</t>
  </si>
  <si>
    <t>10.1016/j.atmosenv.2006.09.053</t>
  </si>
  <si>
    <t>WOS:000248986400012</t>
  </si>
  <si>
    <t>Grant, I; Erksen, HR; Marquis, P; Orre, IJ; Palinkas, LA; Suedfeld, P; Svensen, E; Ursin, H</t>
  </si>
  <si>
    <t>Grant, Iain; Erksen, Hege R.; Marquis, Peter; Orre, Ingrid J.; Palinkas, Lawrence A.; Suedfeld, Peter; Svensen, Erling; Ursin, Holger</t>
  </si>
  <si>
    <t>Psychological selection of antarctic personnel: The SOAP instrument</t>
  </si>
  <si>
    <t>AVIATION SPACE AND ENVIRONMENTAL MEDICINE</t>
  </si>
  <si>
    <t>extreme environments; polar work; subjective health complaints; diurnal rhythm</t>
  </si>
  <si>
    <t>HEALTH COMPLAINTS SHC; SUBJECTIVE HEALTH; PERSONALITY; ENVIRONMENTS; OPTIMISM; DEFENSE; MOOD</t>
  </si>
  <si>
    <t>Introduction: The potential advantage of including a psychological test battery in the selection process for service in the Antarctic was examined in 348 applicants for employment in Antarctica with the British Antarctic Survey (BAS). Methods: Applicants were screened with the Selection of Antarctic Personnel battery (SOAP) consisting of nine well-known psychological instruments. The SOAP scores were not revealed to the BAS selection panel members, who based the selection on operational criteria, interview, and a general medical examination. The SOAP scores of those selected (n = 177) were further compared with station commanders' reports of winter adaptation m = 140), and subjective health complaints (SHC) (n = 86). Results: There were no significant agreements between SOAP scores (n = 348) and those actually selected by the BAS panel (121 accepted, 227 not accepted) (Cohen's Kappas for inter-rater agreement &lt; 0.20). Participants characterized as exceptionally well adapted by the station commanders had higher scores on Openness on the NEO-FFI (the Big Five personality inventory) [Odds Ratio (OR) = 5.2], and higher levels of Emotion-Focused Coping (OR = 2.7) and fewer SHC (OR = 0.3). Participants rated by station commanders as poor had higher levels of Defensive Hostility (OR = 4.2), and lower levels of Emotion-Focused Coping (OR = 0.3). Women had higher rates of success in service than men, but were less likely to be selected. Discussion and Conclusion: Adding a psychological test battery would improve the odds of selecting good performers, and reduce the odds of selecting poor performers.</t>
  </si>
  <si>
    <t>Univ Bergen, Dept Educ &amp; Hlth Promot, UNIFOB Hlth, N-5015 Bergen, Norway; Derriford Hosp, British Antarctic Survey, Med Unit, Plymouth PL6 8DH, Devon, England; Univ So Calif, Los Angeles, CA USA; Univ British Columbia, Vancouver, BC V5Z 1M9, Canada</t>
  </si>
  <si>
    <t>University of Bergen; Derriford Hospital; UK Research &amp; Innovation (UKRI); Natural Environment Research Council (NERC); NERC British Antarctic Survey; University of Southern California; University of British Columbia</t>
  </si>
  <si>
    <t>Ursin, H (corresponding author), Univ Bergen, Dept Educ &amp; Hlth Promot, UNIFOB Hlth, Christies Gate 13, N-5015 Bergen, Norway.</t>
  </si>
  <si>
    <t>Holger.ursin@psych.uib.no</t>
  </si>
  <si>
    <t>Svensen, Erling/ABE-5738-2021</t>
  </si>
  <si>
    <t>AEROSPACE MEDICAL ASSOC</t>
  </si>
  <si>
    <t>ALEXANDRIA</t>
  </si>
  <si>
    <t>320 S HENRY ST, ALEXANDRIA, VA 22314-3579 USA</t>
  </si>
  <si>
    <t>0095-6562</t>
  </si>
  <si>
    <t>AVIAT SPACE ENVIR MD</t>
  </si>
  <si>
    <t>Aviat. Space Environ. Med.</t>
  </si>
  <si>
    <t>Public, Environmental &amp; Occupational Health; Medicine, General &amp; Internal; Sport Sciences</t>
  </si>
  <si>
    <t>Science Citation Index Expanded (SCI-EXPANDED); Social Science Citation Index (SSCI)</t>
  </si>
  <si>
    <t>Public, Environmental &amp; Occupational Health; General &amp; Internal Medicine; Sport Sciences</t>
  </si>
  <si>
    <t>198NG</t>
  </si>
  <si>
    <t>WOS:000248634200008</t>
  </si>
  <si>
    <t>Moller, AP; Flensted-Jensen, E; Mardal, W</t>
  </si>
  <si>
    <t>Moller, A. P.; Flensted-Jensen, E.; Mardal, W.</t>
  </si>
  <si>
    <t>Black beak tip coloration as a signal of phenotypic quality in a migratory seabird</t>
  </si>
  <si>
    <t>BEHAVIORAL ECOLOGY AND SOCIOBIOLOGY</t>
  </si>
  <si>
    <t>arctic tern; melanocytes; North Atlantic Oscillation; Southern Oscillation; Sterna paradisaea</t>
  </si>
  <si>
    <t>NORTH-ATLANTIC OSCILLATION; ECOLOGICAL CONDITIONS; SEXUAL SELECTION; NITROGEN; SURVIVAL; TRAITS; DATE</t>
  </si>
  <si>
    <t>Many different seabirds including terns have black color at the tip of their beak, but a yellow, orange, or red color of the rest of the beak. The tip of the beak of Arctic terns Sterna paradisaea is black, while the rest of the beak is deep red during the breeding season. We hypothesized that the black coloration of the tip of the beak is a reliable signal of phenotypic quality maintained by the costs of deposition of melanin. In this paper, we tested a number of predictions arising from this hypothesis. Consistent with the hypothesis, we found that (1) Arctic terns mated assortatively with respect to beak color score; (2) early breeding adults had larger beak color scores than late breeders; (3) clutch size was larger in adults with large beak color scores; (4) adults with a small beak color scores were more likely to die in the immediate future than individuals with large scores; and (5) beak color score was related to environmental conditions at the breeding grounds, as reflected by the North Atlantic Oscillation and the amount of fertilizer used in agriculture, and hence, leaking to coastal waters and environmental conditions at the Antarctic wintering areas as reflected by the Southern Oscillation. These findings suggest that beak color score provide reliable information about individual phenotypic quality.</t>
  </si>
  <si>
    <t>Univ Paris 06, CNRS, Lab Parasitol Evolut, UMR 7103, F-75252 Paris, France</t>
  </si>
  <si>
    <t>Sorbonne Universite; Centre National de la Recherche Scientifique (CNRS)</t>
  </si>
  <si>
    <t>Moller, AP (corresponding author), Univ Paris 06, CNRS, Lab Parasitol Evolut, UMR 7103, Bat A, 7eme Etage, 7 Quai St, F-75252 Paris, France.</t>
  </si>
  <si>
    <t>amoller@snv.jussieu.fr</t>
  </si>
  <si>
    <t>Moller, Anders/O-6665-2016</t>
  </si>
  <si>
    <t>SPRINGER</t>
  </si>
  <si>
    <t>NEW YORK</t>
  </si>
  <si>
    <t>ONE NEW YORK PLAZA, SUITE 4600, NEW YORK, NY, UNITED STATES</t>
  </si>
  <si>
    <t>0340-5443</t>
  </si>
  <si>
    <t>1432-0762</t>
  </si>
  <si>
    <t>BEHAV ECOL SOCIOBIOL</t>
  </si>
  <si>
    <t>Behav. Ecol. Sociobiol.</t>
  </si>
  <si>
    <t>10.1007/s00265-007-0388-0</t>
  </si>
  <si>
    <t>Behavioral Sciences; Ecology; Zoology</t>
  </si>
  <si>
    <t>Behavioral Sciences; Environmental Sciences &amp; Ecology; Zoology</t>
  </si>
  <si>
    <t>189OT</t>
  </si>
  <si>
    <t>WOS:000247999100007</t>
  </si>
  <si>
    <t>Tang, SL; Qin, DH; Ren, JW; Kang, JC; Li, ZJ</t>
  </si>
  <si>
    <t>Tang, Shulin; Qin, Dahe; Ren, Jiawen; Kang, Jiancheng; Li, Zhijun</t>
  </si>
  <si>
    <t>Structure, salinity and isotopic composition of multi-year landfast sea ice in Nella Fjord, Antarctica</t>
  </si>
  <si>
    <t>COLD REGIONS SCIENCE AND TECHNOLOGY</t>
  </si>
  <si>
    <t>structure; salinity; delta O-18 composition; multi-year sea ice; landfast sea ice; Antarctic</t>
  </si>
  <si>
    <t>WEDDELL SEA; STABLE-ISOTOPES; GROWTH; SNOW; BELLINGSHAUSEN; EVOLUTION; AMUNDSEN; SUMMER; MODEL; BAY</t>
  </si>
  <si>
    <t>The structural, salinity and stable oxygen-isotopic properties of multi-year landfast sea-ice samples collected from Nella Fjord, East Antarctica were used to determine the ice formation process and the fractional contribution of snow, in both snow ice and superimposed ice, to the total sea-ice thickness. The textural analysis of the sea-ice cores revealed a general structure of a granular surface layer, horizontal c-axis in the columnar ice and, in some cases, a buried granular-ice layer at depth between two columnar-ice layers. The textural and isotopic properties of the ice core samples indicate that thermodynamic mechanisms alone are responsible for the development of the multi-year fast ice in the region investigated. Superimposed ice contributed 5% to the ice thickness at some sites. Using a mid-range isotopic criterion to distinguish between snow ice and frazil ice in the granular layers, we estimate that snow-ice layers contributed 38% of the total ice thickness in the samples. The actual fraction of snow in the granular-ice layers in different cores was from 1% to 24% of the total sea-ice thickness. (C) 2007 Elsevier B.V All rights reserved.</t>
  </si>
  <si>
    <t>Chinese Acad Sci, CAREERI, Key Lab Cryosphere &amp; Environm, Lanzhou 730000, Gansu, Peoples R China; Shanghai Normal Univ, Shanghai 200234, Peoples R China; Dalian Univ Technol, State Key Lab Coastal &amp; Offshore Engn, Dalian 116024, Peoples R China</t>
  </si>
  <si>
    <t>Chinese Academy of Sciences; Cold &amp; Arid Regions Environmental &amp; Engineering Research Institute, CAS; Shanghai Normal University; Dalian University of Technology</t>
  </si>
  <si>
    <t>Tang, SL (corresponding author), Chinese Acad Sci, CAREERI, Key Lab Cryosphere &amp; Environm, Lanzhou 730000, Gansu, Peoples R China.</t>
  </si>
  <si>
    <t>tangshulin@126.com</t>
  </si>
  <si>
    <t>Jiawen, Ren/K-7734-2012; Li, Zhijun/A-5299-2019</t>
  </si>
  <si>
    <t>Li, Zhijun/0000-0002-2897-0450</t>
  </si>
  <si>
    <t>0165-232X</t>
  </si>
  <si>
    <t>1872-7441</t>
  </si>
  <si>
    <t>COLD REG SCI TECHNOL</t>
  </si>
  <si>
    <t>Cold Reg. Sci. Tech.</t>
  </si>
  <si>
    <t>10.1016/j.coldregions.2007.03.005</t>
  </si>
  <si>
    <t>Engineering, Environmental; Engineering, Civil; Geosciences, Multidisciplinary</t>
  </si>
  <si>
    <t>Engineering; Geology</t>
  </si>
  <si>
    <t>191WF</t>
  </si>
  <si>
    <t>WOS:000248162000007</t>
  </si>
  <si>
    <t>Maazouzi, C; Masson, G; Izquierdo, MS; Pihan, JC</t>
  </si>
  <si>
    <t>Maazouzi, Chafik; Masson, Gerard; Izquierdo, Maria Soledad; Pihan, Jean-Claude</t>
  </si>
  <si>
    <t>Fatty acid composition of the amphipod Dikerogammarus villosus:: Feeding strategies and trophic links</t>
  </si>
  <si>
    <t>COMPARATIVE BIOCHEMISTRY AND PHYSIOLOGY A-MOLECULAR &amp; INTEGRATIVE PHYSIOLOGY</t>
  </si>
  <si>
    <t>aquatic ecosystems; Dikerogammarus villosus; fatty acids; feeding ecology; gammarids; invasion success; oligohaline waters; overheated waters; trophic biomarkers</t>
  </si>
  <si>
    <t>LIPID-COMPOSITION; BENTHIC INVERTEBRATES; MARINE MICROALGAE; ANTARCTIC KRILL; FOOD QUALITY; DOCOSAHEXAENOIC ACID; SALINITY TOLERANCE; EUPHAUSIA-SUPERBA; COMMERCIAL DIETS; WATER TRANSPORT</t>
  </si>
  <si>
    <t>Fatty acid (FA) compositions were determined for the invader amphipod Dikerogammarus villosus collected from July to September 2002, in an overheated, high-conductivity dammed reservoir in north-eastern France. Predominant fatty acids were the polyunsaturated fatty acids (PUFA): eicosapentaenoic acid (EPA), linoleic acid (LA), arachidonic acid (ARA), linolenic acid (LNA) together with the monounsaturated fatty acid 18:1 omega 9 and the saturated fatty acid 16:0. FA markers indicated that available food was constituted of incompletely degraded phytodetritus and terrestrial inputs, as well as animal remains. PUFA contents depended on the diet and the capacity of animals to desaturate and elongate LNA and LA in long chain PUFA as EPA and ARA respectively. Based on their FA compositions, we showed that gammarids represent naturally-occurring freshwater sources of essential PUFA, and could play a fundamental role in pelagic-benthic coupling and energy recycling in the ecosystem. The complexity of the feeding strategies of D. villosus - detritivorous, omnivorous, carnivorous - makes this species efficient at exploiting different components of the available food and may be a key factor in its high invasive success. (c) 2007 Elsevier Inc. All rights reserved.</t>
  </si>
  <si>
    <t>Univ Paul Verlaine, CNRS UMR 7146, Lab Interact Ecotoxicol Biodiversite Ecosyst, F-57070 Metz, France; ULPGC, Grp Invest Acuicultura, Las Palmas Gran Canaria 35200, Spain; ICCM, Las Palmas Gran Canaria 35200, Spain</t>
  </si>
  <si>
    <t>Universite de Lorraine; Centre National de la Recherche Scientifique (CNRS); Universidad de Las Palmas de Gran Canaria</t>
  </si>
  <si>
    <t>Maazouzi, C (corresponding author), Univ Paul Verlaine, CNRS UMR 7146, Lab Interact Ecotoxicol Biodiversite Ecosyst, Campus Bridoux,Ave Gen Delestraint, F-57070 Metz, France.</t>
  </si>
  <si>
    <t>maazouzi@univ-metz.fr; masson1@univ-metz.fr; mizquierdo@dbio.ulpgc.es; pihan@univ-metz.fr</t>
  </si>
  <si>
    <t>Maazouzi, Chafik/A-8275-2010</t>
  </si>
  <si>
    <t>Izquierdo, Marisol/0000-0003-3583-6660; Marisol, Izquierdo/0000-0003-4297-210X</t>
  </si>
  <si>
    <t>ELSEVIER SCIENCE INC</t>
  </si>
  <si>
    <t>360 PARK AVE SOUTH, NEW YORK, NY 10010-1710 USA</t>
  </si>
  <si>
    <t>1095-6433</t>
  </si>
  <si>
    <t>COMP BIOCHEM PHYS A</t>
  </si>
  <si>
    <t>Comp. Biochem. Physiol. A-Mol. Integr. Physiol.</t>
  </si>
  <si>
    <t>10.1016/j.cbpa.2007.02.010</t>
  </si>
  <si>
    <t>Biochemistry &amp; Molecular Biology; Physiology; Zoology</t>
  </si>
  <si>
    <t>185NF</t>
  </si>
  <si>
    <t>WOS:000247717000007</t>
  </si>
  <si>
    <t>Garzoli, SL; Baringer, MO</t>
  </si>
  <si>
    <t>Garzoli, Silvia L.; Baringer, Molly O.</t>
  </si>
  <si>
    <t>Meridional heat transport determined with expandable bathythermographs - Part II: South Atlantic transport</t>
  </si>
  <si>
    <t>DEEP-SEA RESEARCH PART I-OCEANOGRAPHIC RESEARCH PAPERS</t>
  </si>
  <si>
    <t>heat transport</t>
  </si>
  <si>
    <t>ANTARCTIC BOTTOM WATER; BRAZIL-MALVINAS; GENERAL-CIRCULATION; OCEAN CIRCULATION; WORLD OCEAN; BENGUELA; VARIABILITY; INTERMEDIATE; FLUXES; DYNAMICS</t>
  </si>
  <si>
    <t>Fourteen temperature sections collected between July 2002 and May 2006 are analyzed to obtain estimates of the meridional heat transport variability of the South Atlantic Ocean. The methodology proposed in Part I is used to calculate the heat transport from temperature data obtained from high-density XBT profiles taken along transects from Cape Town, South Africa to Buenos Aires, Argentina. Salinity is estimated from Argo profiles and CTD casts for each XBT temperature observation using statistical relationships between temperature, latitude, longitude, and salinity computed along constant-depth surfaces. Full-depth temperature/salinity profiles are obtained by extending the profiles to the bottom of the ocean using deep climatological data. The meridional transport is then determined by using the standard geostrophic method, applying NCEP-derived Ekman transports, and requiring that salt flux through the Bering Straits be conserved. The results from the analysis indicate a mean meridional heat transport of 0.54PW (PW = 10(15)W) with a standard deviation of 0.11PW. The geostrophic component of the heat flux has a marked annual cycle following the variability of the Brazil Malvinas Confluence Front, and the geostrophic annual cycle is 180 degrees out of phase with the annual cycle observed in the Ekman fluxes. As a result, the total heat flux shows significant interannual variability with only a small annual cycle. Uncertainties due to different wind products and locations of the sections are independent of the methodology used. Published by Elsevier Ltd.</t>
  </si>
  <si>
    <t>NOAA, Atlantic Oceanog &amp; Meteorol Lab, Miami, FL 33149 USA</t>
  </si>
  <si>
    <t>National Oceanic Atmospheric Admin (NOAA) - USA; Atlantic Oceanographic &amp; Meteorological Laboratory (AOML)</t>
  </si>
  <si>
    <t>Garzoli, SL (corresponding author), NOAA, Atlantic Oceanog &amp; Meteorol Lab, Miami, FL 33149 USA.</t>
  </si>
  <si>
    <t>Silvia.Garzoli@noaa.gov; Molly.Baringer@noaa.gov</t>
  </si>
  <si>
    <t>Garzoli, Silvia/JCP-1471-2023; Garzoli, Silvia/A-3556-2010; Baringer, Molly/D-2277-2012</t>
  </si>
  <si>
    <t>Garzoli, Silvia/0000-0003-3553-2253; Baringer, Molly/0000-0002-8503-5194</t>
  </si>
  <si>
    <t>0967-0637</t>
  </si>
  <si>
    <t>1879-0119</t>
  </si>
  <si>
    <t>DEEP-SEA RES PT I</t>
  </si>
  <si>
    <t>Deep-Sea Res. Part I-Oceanogr. Res. Pap.</t>
  </si>
  <si>
    <t>10.1016/j.dsr.2007.04.013</t>
  </si>
  <si>
    <t>207GA</t>
  </si>
  <si>
    <t>WOS:000249238400015</t>
  </si>
  <si>
    <t>Udintsev, GB; Kurentsova, NA; Teterin, DE; Roshchina, IA</t>
  </si>
  <si>
    <t>Udintsev, G. B.; Kurentsova, N. A.; Teterin, D. E.; Roshchina, I. A.</t>
  </si>
  <si>
    <t>Petrology of the Hubert Miller Seamount, Marie Byrd Seamounts province, west Antarctic, southern Ocean</t>
  </si>
  <si>
    <t>DOKLADY EARTH SCIENCES</t>
  </si>
  <si>
    <t>CENOZOIC VOLCANISM</t>
  </si>
  <si>
    <t>Russian Acad Sci, VI Vernadskii Inst Geochem &amp; Analyt Chem, Moscow 117975, Russia</t>
  </si>
  <si>
    <t>Russian Academy of Sciences; Vernadsky Institute of Geochemistry &amp; Analytical Chemistry</t>
  </si>
  <si>
    <t>Udintsev, GB (corresponding author), Russian Acad Sci, VI Vernadskii Inst Geochem &amp; Analyt Chem, Kosygina 19, Moscow 117975, Russia.</t>
  </si>
  <si>
    <t>glebudintsev@pochta.ru</t>
  </si>
  <si>
    <t>MAIK NAUKA/INTERPERIODICA/SPRINGER</t>
  </si>
  <si>
    <t>233 SPRING ST, NEW YORK, NY 10013-1578 USA</t>
  </si>
  <si>
    <t>1028-334X</t>
  </si>
  <si>
    <t>1531-8354</t>
  </si>
  <si>
    <t>DOKL EARTH SCI</t>
  </si>
  <si>
    <t>Dokl. Earth Sci.</t>
  </si>
  <si>
    <t>10.1134/S1028334X07060141</t>
  </si>
  <si>
    <t>213DS</t>
  </si>
  <si>
    <t>WOS:000249646900014</t>
  </si>
  <si>
    <t>Vyverman, W; Verleyen, E; Sabbe, K; Vanhoutte, K; Sterken, M; Hodgson, DA; Mann, DG; Juggins, S; Van de Vijver, B; Jones, V; Flower, R; Roberts, D; Chepurnov, VA; Kilroy, C; Vanormelingen, P; De Wever, A</t>
  </si>
  <si>
    <t>Vyverman, Wim; Verleyen, Elie; Sabbe, Koen; Vanhoutte, Koenraad; Sterken, Mieke; Hodgson, Dominic A.; Mann, David G.; Juggins, Steve; Van de Vijver, Bart; Jones, Vivienne; Flower, Roger; Roberts, Donna; Chepurnov, Victor A.; Kilroy, Cathy; Vanormelingen, Pieter; De Wever, Aaike</t>
  </si>
  <si>
    <t>Historical processes constrain patterns in global diatom diversity</t>
  </si>
  <si>
    <t>ECOLOGY</t>
  </si>
  <si>
    <t>diatoms; dispersal; diversity; latitudinal diversity gradient; metacommunity; microorganisms; protists; theory of island biogeography.</t>
  </si>
  <si>
    <t>COMMUNITY STRUCTURE; BOREAL STREAMS; BIODIVERSITY; DISPERSAL; LAKES; TAXA</t>
  </si>
  <si>
    <t>There is a long-standing belief that microbial organisms have unlimited dispersal capabilities, are therefore ubiquitous, and show weak or absent latitudinal diversity gradients. In contrast, using a global freshwater diatom data set, we show that latitudinal gradients in local and regional genus richness are present and highly asymmetric between both hemispheres. Patterns in regional richness are explained by the degree of isolation of lake districts, while the number of locally coexisting diatom genera is highly constrained by the size of the regional diatom pool, habitat availability, and the connectivity between habitats within lake districts. At regional to global scales, historical factors explain significantly more of the observed geographic patterns in genus richness than do contemporary environmental conditions. Together, these results stress the importance of dispersal and migration in structuring diatom communities at regional to global scales. Our results are consistent with predictions from the theory of island biogeography and metacommunity concepts and likely underlie the strong provinciality and endemism observed in the relatively isolated diatom floras in the Southern Hemisphere.</t>
  </si>
  <si>
    <t>Univ Ghent, Dept Biol, B-9000 Ghent, Belgium; British Antarctic Survey, Cambridge CB3 0ET, England; Royal Bot Gardens, Edinburgh EH3 5LR, Midlothian, Scotland; Newcastle Univ, Sch Geog Polit &amp; Sociol, Newcastle Upon Tyne NE1 7RU, Tyne &amp; Wear, England; Natl Botan Garden Belgium, Dept Cryoptogamy, B-1860 Meise, Belgium; UCL, Environm Change Res Ctr, London WC1E 6BT, England; ARC Ctr Excellence Ore Deposits, Hobart, Tas 7001, Australia; Natl Inst Water &amp; Atmospher Res, Christchurch 8602, New Zealand</t>
  </si>
  <si>
    <t>Ghent University; UK Research &amp; Innovation (UKRI); Natural Environment Research Council (NERC); NERC British Antarctic Survey; Royal Botanic Gardens, Kew; Newcastle University - UK; University of London; University College London; University of Tasmania; National Institute of Water &amp; Atmospheric Research (NIWA) - New Zealand</t>
  </si>
  <si>
    <t>Vyverman, W (corresponding author), Univ Ghent, Dept Biol, Krijslaan 281 S8, B-9000 Ghent, Belgium.</t>
  </si>
  <si>
    <t>Wim.vyverman@Ugent.be</t>
  </si>
  <si>
    <t>De Wever, Aaike/A-4691-2009; Dasseville, Renaat/B-3561-2010; Mann, David G/I-9018-2014; Van de Vijver, Bart/A-4572-2013; Juggins, Steve/D-1653-2010</t>
  </si>
  <si>
    <t>Mann, David G/0000-0003-0522-6802; Roberts, Donna/0000-0001-6701-6662; De Wever, Aaike/0000-0001-8804-8321; Juggins, Steve/0000-0003-4466-424X</t>
  </si>
  <si>
    <t>0012-9658</t>
  </si>
  <si>
    <t>1939-9170</t>
  </si>
  <si>
    <t>10.1890/06-1564.1</t>
  </si>
  <si>
    <t>198IO</t>
  </si>
  <si>
    <t>WOS:000248620500009</t>
  </si>
  <si>
    <t>Raymond, JA; Fritsen, C; Shen, K</t>
  </si>
  <si>
    <t>Raymond, James A.; Fritsen, Christian; Shen, Kate</t>
  </si>
  <si>
    <t>An ice-binding protein from an Antarctic sea ice bacterium</t>
  </si>
  <si>
    <t>FEMS MICROBIOLOGY ECOLOGY</t>
  </si>
  <si>
    <t>sea ice; bacterium; ice-binding protein; Colwellia</t>
  </si>
  <si>
    <t>CRYSTAL-CONTROLLING PROTEINS; ANTIFREEZE PROTEIN; DIVERSITY; PLANT; COMMUNITIES; SUBSTANCES; NUCLEATION; NOV.</t>
  </si>
  <si>
    <t>An Antarctic sea ice bacterium of the Gram-negative genus Colwellia, strain SLW05, produces an extracellular substance that changes the morphology of growing ice. The active substance was identified as a similar to 25-kDa protein that was purified through its affinity for ice. The full gene sequence was determined and was found to encode a 253-amino acid protein with a calculated molecular mass of 26 350 Da. The predicted amino acid sequence is similar to predicted sequences of ice-binding proteins recently found in two species of sea ice diatoms and a species of snow mold. A recombinant ice-binding protein. showed ice-binding activity and ice recrystallization inhibition activity. The protein is much smaller than bacterial ice-nucleating proteins and antifreeze proteins that have been previously described. The function of the protein is unknown but it may act as an ice recrystallization inhibitor to protect membranes in the frozen state.</t>
  </si>
  <si>
    <t>Univ Nevada, Dept Biol Sci, Sch Life Sci, Las Vegas, NV 89154 USA; Univ Nevada, Desert Res Inst, Reno, NV 89506 USA</t>
  </si>
  <si>
    <t>Nevada System of Higher Education (NSHE); University of Nevada Las Vegas; Nevada System of Higher Education (NSHE); University of Nevada Reno; Desert Research Institute NSHE</t>
  </si>
  <si>
    <t>Raymond, JA (corresponding author), Univ Nevada, Dept Biol Sci, Sch Life Sci, 4004, Las Vegas, NV 89154 USA.</t>
  </si>
  <si>
    <t>raymond@unlv.nevada.edu</t>
  </si>
  <si>
    <t>OXFORD UNIV PRESS</t>
  </si>
  <si>
    <t>GREAT CLARENDON ST, OXFORD OX2 6DP, ENGLAND</t>
  </si>
  <si>
    <t>0168-6496</t>
  </si>
  <si>
    <t>1574-6941</t>
  </si>
  <si>
    <t>FEMS MICROBIOL ECOL</t>
  </si>
  <si>
    <t>FEMS Microbiol. Ecol.</t>
  </si>
  <si>
    <t>10.1111/j.1574-6941.2007.00345.x</t>
  </si>
  <si>
    <t>Microbiology</t>
  </si>
  <si>
    <t>200ZB</t>
  </si>
  <si>
    <t>WOS:000248800200002</t>
  </si>
  <si>
    <t>González-Solís, J; Croxall, JP; Oro, D; Ruiz, X</t>
  </si>
  <si>
    <t>Gonzalez-Solis, Jacob; Croxall, John P.; Oro, Daniel; Ruiz, Xavier</t>
  </si>
  <si>
    <t>Trans-equatorial migration and mixing in the wintering areas of a pelagic seabird</t>
  </si>
  <si>
    <t>FRONTIERS IN ECOLOGY AND THE ENVIRONMENT</t>
  </si>
  <si>
    <t>TRACKING; OCEAN; WIND</t>
  </si>
  <si>
    <t>Despite increasing interest in long-distance migration, the wintering areas, migration corridors, and population mix in winter quarters of most pelagic marine predators are unknown. Here, we present the first study tracking migration movements of shearwaters through the non-breeding period. We used geolocators (global location sensing [GLS] units based on ambient light levels) to track 22 Cory's shearwaters (Calonectris diomedea) breeding in three different areas. Most birds wintered in one or more of three relatively small areas, all clearly associated with major coastal upwelling systems of the tropical anal south Atlantic. Trans-equatorial movements were dominated by prevailing trade winds and westerlies, while calm, oligotrophic areas were avoided. Breeding populations clearly differed in their preference amongst the three major wintering areas, but showed substantial mixing. This illustrates the exceptional value of GLS, not only for determining and describing the influence of oceanographic features on migration patterns, but also for assessing population mix in winter quarters. This knowledge is essential to understanding the impacts of population-level threats, such as longlining, offshore windfarms, and oil spills on multiple breeding sites, and will be critical in devising conservation policies that guarantee the sustainable exploitation of the oceans.</t>
  </si>
  <si>
    <t>Univ Barcelona, Dept Biol Anim Vertebrats, E-08028 Barcelona, Spain; British Antarctic Survey, NERC, Cambridge CB3 0ET, England; Inst Mediterraneo Estuidios Avanzados, Mallorca, Spain</t>
  </si>
  <si>
    <t>University of Barcelona; UK Research &amp; Innovation (UKRI); Natural Environment Research Council (NERC); NERC British Antarctic Survey; Consejo Superior de Investigaciones Cientificas (CSIC); ATTITUS Educacao</t>
  </si>
  <si>
    <t>González-Solís, J (corresponding author), Univ Barcelona, Dept Biol Anim Vertebrats, E-08028 Barcelona, Spain.</t>
  </si>
  <si>
    <t>jgsolis@ub.edu</t>
  </si>
  <si>
    <t>Oro, Daniel/H-4208-2012; Gonzalez-Solis, Jacob/C-3942-2008; González-Solís, Jacob/AAB-1161-2019</t>
  </si>
  <si>
    <t>Oro, Daniel/0000-0003-4782-3007; Gonzalez-Solis, Jacob/0000-0002-8691-9397;</t>
  </si>
  <si>
    <t>Natural Environment Research Council [bas010017] Funding Source: researchfish; NERC [bas010017] Funding Source: UKRI</t>
  </si>
  <si>
    <t>1540-9295</t>
  </si>
  <si>
    <t>1540-9309</t>
  </si>
  <si>
    <t>FRONT ECOL ENVIRON</t>
  </si>
  <si>
    <t>Front. Ecol. Environ.</t>
  </si>
  <si>
    <t>10.1890/1540-9295(2007)5[297:TMAMIT]2.0.CO;2</t>
  </si>
  <si>
    <t>Ecology; Environmental Sciences</t>
  </si>
  <si>
    <t>196GA</t>
  </si>
  <si>
    <t>Green Submitted, Green Published</t>
  </si>
  <si>
    <t>WOS:000248468500014</t>
  </si>
  <si>
    <t>Scudiero, R; Trinchella, F; Riggio, M; Parisi, E</t>
  </si>
  <si>
    <t>Scudiero, Rosaria; Trinchella, Francesca; Riggio, Marilisa; Parisi, Elio</t>
  </si>
  <si>
    <t>Structure and expression of genes involved in transport and storage of iron in red-blooded and hemoglobin-less antarctic notothenioids</t>
  </si>
  <si>
    <t>ceruloplasmin; divalent metal transporter; ferritin; iron metabolism; mRNA expression; transferrin</t>
  </si>
  <si>
    <t>TRANSFERRIN RECEPTOR; HUMAN FERRITIN; CERULOPLASMIN; FERROXIDASE; PROTEINS; CELLS; FISH; ERYTHROPOIESIS; IDENTIFICATION; RETICULOCYTES</t>
  </si>
  <si>
    <t>Antarctic notothenioids are characterized by a drastic reduction of the hemoglobin content, a condition that reaches its extreme in icefish that, following a gene deletion event, are completely devoid of hemoglobin. To answer the question on what type of adaptive changes occurred in icefish to prevent accumulation of potentially dangerous ferrous iron, we investigated the genes of four proteins known to play a key role in iron metabolism. For this purpose, we cloned and sequenced the cDNAs encoding ceruloplasmin, transferrin, ferritin and divalent metal transporter 1, While the inferred amino acid sequences of transferrin from different Antarctic fish species showed a high level of similarity with the homologous proteins from other species, ceruloplasmin sequence featured amino acid substitutions affecting a copper binding site. Another peculiarity was the presence in subunit H of the icefish ferritin of the two sets of sites involved in iron oxidation and iron mineralization, which in mammals are located on two distinct ferritin subunits. Significant differences in the expression levels of the four genes were found between hemoglobinless and red-blooded notothenioids. An increased expression of ceruloplasmin mRNA in icefish was interpreted as a compensatory mechanism to prevent accumulation of ferrous iron in hemoglobinless fish. In icefish, the amounts of ferritin H-chain mRNA measured in liver, blood and head kidney were lower than in the same organs of the red-blooded fish. In the spleen of both fishes, the expression levels of ferritin H-chain were significantly lower than in the spleen of a pink-blooded notothenioid with an intermediate hemoglobin content. Finally, the amount of divalent metal transporter mRNA measured in the head-kidney was lower in the icefish than in the same organ of its red-blooded counterpart. These results indicate that the loss of hemoglobin in icefish is accompanied by remodulation of the iron metabolism. (C) 2007 Elsevier B.V. All rights reserved.</t>
  </si>
  <si>
    <t>Univ Naples Federico 2, Dept Biol Sci, Naples, Italy; CNR, Inst Prot Biochem, I-80131 Naples, Italy</t>
  </si>
  <si>
    <t>University of Naples Federico II; Consiglio Nazionale delle Ricerche (CNR); Istituto di Biochimica delle Proteine (IBP-CNR)</t>
  </si>
  <si>
    <t>Parisi, E (corresponding author), Univ Naples Federico 2, Dept Biol Sci, Naples, Italy.</t>
  </si>
  <si>
    <t>e.parisi@ibp.cnr.it</t>
  </si>
  <si>
    <t>Scudiero, Rosaria/AAI-2119-2020</t>
  </si>
  <si>
    <t>Scudiero, Rosaria/0000-0002-8186-9722</t>
  </si>
  <si>
    <t>AUG 1</t>
  </si>
  <si>
    <t>10.1016/j.gene.2007.03.003</t>
  </si>
  <si>
    <t>191SR</t>
  </si>
  <si>
    <t>WOS:000248152800001</t>
  </si>
  <si>
    <t>Dosso, L; Hamelin, C; Hanan, B; Moreira, M; Barrat, JA</t>
  </si>
  <si>
    <t>Dosso, Laure; Hamelin, Cedric; Hanan, Barry; Moreira, Manuel; Barrat, Jean-Alix</t>
  </si>
  <si>
    <t>Geochemical segmentation of the Pacific Antarctic Ridge</t>
  </si>
  <si>
    <t>GEOCHIMICA ET COSMOCHIMICA ACTA</t>
  </si>
  <si>
    <t>17th Annual V M Goldschmidt Conference</t>
  </si>
  <si>
    <t>AUG, 2007</t>
  </si>
  <si>
    <t>Cologne, GERMANY</t>
  </si>
  <si>
    <t>UBO IUEM, CNRS, UMR 6538, F-29280 Plouzane, France; San Diego State Univ, Dept Geol Sci, San Diego, CA 92182 USA; Inst Phys Globe, Lab Geochim &amp; Cosmochim, Paris 5, France; IFREMER, CNRS, UMR 6538, F-29280 Plouzane, France</t>
  </si>
  <si>
    <t>Centre National de la Recherche Scientifique (CNRS); CNRS - National Institute for Earth Sciences &amp; Astronomy (INSU); Universite de Bretagne Occidentale; Institut Universitaire Europeen de la Mer (IUEM); California State University System; San Diego State University; Universite Paris Cite; Universite de Bretagne Occidentale; Ifremer; Centre National de la Recherche Scientifique (CNRS); CNRS - National Institute for Earth Sciences &amp; Astronomy (INSU)</t>
  </si>
  <si>
    <t>laure.dosso@univ-brest.fr; cedric.hamelin@sdt.univ-brest.fr; barry.hanan@sdsu.edu; moreira@ipgp.jussieu.fr; barrat@univ-brest.fr</t>
  </si>
  <si>
    <t>Jean-Alix, BARRAT/F-8035-2012; Hamelin, Cédric/C-6656-2009; Dosso, Laure/A-9520-2009; Barrat, Jean Alix/C-8416-2017</t>
  </si>
  <si>
    <t>Barrat, Jean Alix/0000-0003-3158-3109</t>
  </si>
  <si>
    <t>0016-7037</t>
  </si>
  <si>
    <t>GEOCHIM COSMOCHIM AC</t>
  </si>
  <si>
    <t>Geochim. Cosmochim. Acta</t>
  </si>
  <si>
    <t>S</t>
  </si>
  <si>
    <t>A233</t>
  </si>
  <si>
    <t>200VC</t>
  </si>
  <si>
    <t>WOS:000248789900478</t>
  </si>
  <si>
    <t>McAteer, CA; Daly, JS; Flowerdew, MJ; Connelly, JN; Housh, TB; Whitehouse, MJ</t>
  </si>
  <si>
    <t>McAteer, Claire A.; Daly, J. Stephen; Flowerdew, Michael J.; Connelly, Jim N.; Housh, Todd B.; Whitehouse, Martin J.</t>
  </si>
  <si>
    <t>In situ U-Pb analysis of detrital titanite:: A new provenance technique applied to enigmatic metasedimentary cover sequences in SW Scotland</t>
  </si>
  <si>
    <t>Univ Coll Dublin, Sch Geol Sci, Dublin 4, Ireland; British Antarctic Survey, Cambridge CB3 0ET, England; Univ Texas, Dept Geol Sci, Austin, TX 78712 USA; Swedish Museum Nat Hist, Lab Isotope Geol, S-10405 Stockholm, Sweden</t>
  </si>
  <si>
    <t>University College Dublin; UK Research &amp; Innovation (UKRI); Natural Environment Research Council (NERC); NERC British Antarctic Survey; University of Texas System; University of Texas Austin; Swedish Museum of Natural History</t>
  </si>
  <si>
    <t>claire.mcateer@ucd.ie; stephen.daly@ucd.ie; mf@bas.ac.uk; connelly@mail.utexas.edu; housh@mail.utexas.edu; Martin.Whitehouse@nrm.se</t>
  </si>
  <si>
    <t>Whitehouse, Martin J/E-1425-2013; Daly, J. Stephen/B-4836-2012</t>
  </si>
  <si>
    <t>Daly, J. Stephen/0000-0001-6390-905X</t>
  </si>
  <si>
    <t>1872-9533</t>
  </si>
  <si>
    <t>A644</t>
  </si>
  <si>
    <t>WOS:000248789901503</t>
  </si>
  <si>
    <t>Ohkouhi, N; Eglinton, TI; Toyoda, M; Chikaraishi, Y; Tokuyama, H; Miura, H; Yokoyama, Y</t>
  </si>
  <si>
    <t>Ohkouhi, N.; Eglinton, T. I.; Toyoda, M.; Chikaraishi, Y.; Tokuyama, H.; Miura, H.; Yokoyama, Y.</t>
  </si>
  <si>
    <t>Application of compound-specific radiocarbon dating for studying west antarctic ice sheet during the late quaternary</t>
  </si>
  <si>
    <t>Woods Hole Oceaanog Inst, Yokosuka, Kanagawa 2370061, Japan; Univ Tokyo, Ocean Res Inst, Tokyo 1648639, Japan; Natl Inst Polar Res, Tokyo 1738515, Japan; Univ Tokyo, Dept Earth Planet Sci, Tokyo 1130033, Japan</t>
  </si>
  <si>
    <t>University of Tokyo; Research Organization of Information &amp; Systems (ROIS); National Institute of Polar Research (NIPR) - Japan; University of Tokyo</t>
  </si>
  <si>
    <t>Yokoyama, Yusuke/N-9623-2013</t>
  </si>
  <si>
    <t>A732</t>
  </si>
  <si>
    <t>WOS:000248789901679</t>
  </si>
  <si>
    <t>Sun, J; Liu, XD; Sun, LG; Liu, WQ</t>
  </si>
  <si>
    <t>Sun, Jing; Liu, Xiaodong; Sun, Liguang; Liu, Wenqi</t>
  </si>
  <si>
    <t>Using reflectance spectroscopy for the reconstruction of penguin palaeoecological process in Antarctic ornithogenic sediments</t>
  </si>
  <si>
    <t>Univ Sci &amp; Technol China, Inst Polar Environm, Hefei 230026, Anhui, Peoples R China; Univ Sci &amp; Technol China, Struct Res Lab, Hefei 230026, Anhui, Peoples R China</t>
  </si>
  <si>
    <t>Chinese Academy of Sciences; University of Science &amp; Technology of China, CAS; Chinese Academy of Sciences; University of Science &amp; Technology of China, CAS</t>
  </si>
  <si>
    <t>ycx@ustc.edu.cn; slg@ustc.edu.cn</t>
  </si>
  <si>
    <t>Wang, Xin/AAN-8435-2021; yi, cheng/KHC-5004-2024; Wang, Yifan/KDO-8319-2024</t>
  </si>
  <si>
    <t>Wang, Xin/0000-0002-4457-7376;</t>
  </si>
  <si>
    <t>A986</t>
  </si>
  <si>
    <t>WOS:000248789902343</t>
  </si>
  <si>
    <t>Suzuki, A; Yamanoi, Y; Nakashima, S; Nakamura, T; Katafuchi, E</t>
  </si>
  <si>
    <t>Suzuki, A.; Yamanoi, Y.; Nakashima, S.; Nakamura, T.; Katafuchi, E.</t>
  </si>
  <si>
    <t>Raman spectroscopy of organics in Antarctic micrometeorites</t>
  </si>
  <si>
    <t>Osaka Univ, Dept Earth &amp; Space Sci, Toyonaka, Osaka 5600043, Japan; Kyushu Univ, Dept Earth &amp; Planetary Sci, Fukuoka 8128581, Japan</t>
  </si>
  <si>
    <t>Osaka University; Kyushu University</t>
  </si>
  <si>
    <t>akiko.s@ess.sci.osaka-u.ac.jp</t>
  </si>
  <si>
    <t>A988</t>
  </si>
  <si>
    <t>WOS:000248789902348</t>
  </si>
  <si>
    <t>Svojtka, M; Murakami, M; Nyvlt, D; Macáková, J; Filip, J; Mixa, P</t>
  </si>
  <si>
    <t>Svojtka, M.; Murakami, M.; Nyvlt, D.; Macakova, J.; Filip, J.; Mixa, P.</t>
  </si>
  <si>
    <t>Provenance and post-sedimentary low-temperature evolution of the James Ross Basin sediments (Antarctic Peninsula) based on zircon and apatite fission-track analysis</t>
  </si>
  <si>
    <t>Acad Sci Czech Republic, Inst Geol, Prague, Czech Republic</t>
  </si>
  <si>
    <t>Czech Academy of Sciences; Institute of Geology of the Czech Academy of Sciences</t>
  </si>
  <si>
    <t>svojtka@gli.cas.cz; masaki@eps.s.u-tokyo.ac.jp; nyvlt@cgu.cz; jitule.m@centrum.cz; filip@gli.cas.cz; mixa@cgu.cz</t>
  </si>
  <si>
    <t>Nyvlt, Daniel/J-6504-2019; Svojtka, Martin/I-8794-2014</t>
  </si>
  <si>
    <t>Nyvlt, Daniel/0000-0002-6876-490X;</t>
  </si>
  <si>
    <t>A990</t>
  </si>
  <si>
    <t>WOS:000248789902351</t>
  </si>
  <si>
    <t>Bialas, RW; Buck, WR; Studinger, M; Fitzgerald, PG</t>
  </si>
  <si>
    <t>Bialas, Robert W.; Buck, W. Roger; Studinger, Michael; Fitzgerald, Paul G.</t>
  </si>
  <si>
    <t>Plateau collapse model for the transantarctic mountains-west Antarctic rift system: Insights from numerical experiments</t>
  </si>
  <si>
    <t>GEOLOGY</t>
  </si>
  <si>
    <t>Transantarctic Mountains; West Antarctic Rift System; rifting; numerical modeling; plateau collapse; Antarctica</t>
  </si>
  <si>
    <t>MARIE-BYRD-LAND; ROSS SEA; EVOLUTION; EXTENSION; UPLIFT</t>
  </si>
  <si>
    <t>The high elevation and considerable length of the Transantarctic Mountains have led to speculation about their origin. To date, no model has been able to adequately reconcile the juxtaposition of the high, curvilinear Transantarctic Mountains with the adjacent West Antarctic Rift System, a broad region of thin extended continental crust exhibiting wide rift characteristics. We present a first-order investigation into the idea that the West Antarctic Rift System-Transantarctic Mountains region was a high-elevation plateau with thicker than normal crust before the onset of continental extension. With major Cretaceous extension, the rift underwent a topographic reversal, and a plateau edge with thickened crust, representing the ancestral Transantarctic Mountains, remained. In the Cenozoic, minor extension and major denudation reduce the crustal root while simultaneously uplifting peak heights in the mountains. The Cretaceous stage of this concept is investigated using two-dimensional numerical models to determine under what conditions plateau collapse is plausible. Model results indicate that elevation of a remnant plateau edge decreases with increasing initial Moho temperature. Very cold initial Moho temperatures, &lt; 675 degrees C, under the plateau leave a thick plateau edge but do not exhibit wide rifting. A cold to moderate initial thermal structure, Moho temperatures of 675-850 degrees C, is needed to retain the plateau edge and still exhibit wide rifting in the middle of the plateau. We conclude that this plateau collapse concept is possible using these numerical experiments, and that application of this idea to the West Antarctic Rift System-Transantarctic Mountains system is also supported by geological and geophysical evidence.</t>
  </si>
  <si>
    <t>Columbia Univ, Dept Earth &amp; Environm Sci, Lamont Doherty Earth Observ, Palisades, NY 10964 USA; Syracuse Univ, Dept Earth Sci, Syracuse, NY 13244 USA</t>
  </si>
  <si>
    <t>Columbia University; Syracuse University</t>
  </si>
  <si>
    <t>Bialas, RW (corresponding author), Columbia Univ, Dept Earth &amp; Environm Sci, Lamont Doherty Earth Observ, Palisades, NY 10964 USA.</t>
  </si>
  <si>
    <t>Studinger, Michael/0000-0003-1265-4741</t>
  </si>
  <si>
    <t>GEOLOGICAL SOC AMER, INC</t>
  </si>
  <si>
    <t>PO BOX 9140, BOULDER, CO 80301-9140 USA</t>
  </si>
  <si>
    <t>0091-7613</t>
  </si>
  <si>
    <t>1943-2682</t>
  </si>
  <si>
    <t>10.1130/G23825A.1</t>
  </si>
  <si>
    <t>195RY</t>
  </si>
  <si>
    <t>WOS:000248430500004</t>
  </si>
  <si>
    <t>Lyle, M; Gibbs, S; Moore, TC; Rea, DK</t>
  </si>
  <si>
    <t>Lyle, Mitchell; Gibbs, Samantha; Moore, Theodore C.; Rea, David K.</t>
  </si>
  <si>
    <t>Late Oligocene initiation of the Antarctic circumpolar current: Evidence from the South Pacific</t>
  </si>
  <si>
    <t>paleoceanography; marine geology; cenozoic; Antarctic Circumpolar Current; Southern Ocean; Pacific Ocean</t>
  </si>
  <si>
    <t>CARBON-DIOXIDE CONCENTRATIONS; DRAKE PASSAGE; ICE-SHEET; EVOLUTION; GLACIATION; OCEAN; HISTORY</t>
  </si>
  <si>
    <t>The Antarctic Circumpollar Current (ACC) is a key feature of the Southern Ocean. Its development may have helped cool Antarctica and initiate Southern Hemisphere glaciation. The deep circulation of the ACC must have been established after both the Tasman gateway (between Antarctica and Australia) and the Drake Passage (between South America and Antarctica) opened. However, estimates for ACC initiation range over 20 m.y., from the middle Eocene to early Miocene. A new piston core of upper Oligocene to Holocene sediments from the South Pacific has allowed us to delimit the formation of the ACC to the late Oligocene (ca. 25-23 Ma). Upper Oligocene, current-worked sediments and a hiatus to the upper Miocene result from the beginning of the modern ACC flow; i.e., when strong currents and mixing throughout the water column were established. Previously published Nd isotope data date the first intrusion of Pacific water into the Atlantic much earlier. The discrepancy with our results can be reconciled by the different methods measuring different flow regimes. Tracer methods such as Nd are sensitive to relatively small and shallow incursions of water, whereas pelagic erosional regimes require vigorous deep flow.</t>
  </si>
  <si>
    <t>Texas A&amp;M Univ, Dept Oceanog, College Stn, TX 77843 USA; Natl Oceanog Ctr, Southampton SO14 3ZH, Hants, England; Univ Michigan, Dept Geol Sci, Ann Arbor, MI 48109 USA</t>
  </si>
  <si>
    <t>Texas A&amp;M University System; Texas A&amp;M University College Station; NERC National Oceanography Centre; University of Michigan System; University of Michigan</t>
  </si>
  <si>
    <t>Lyle, M (corresponding author), Texas A&amp;M Univ, Dept Oceanog, 3146 TAMU, College Stn, TX 77843 USA.</t>
  </si>
  <si>
    <t>Moore, Theodore/N-8848-2014</t>
  </si>
  <si>
    <t>Moore, Theodore/0000-0003-4121-1325</t>
  </si>
  <si>
    <t>10.1130/G23806A.1</t>
  </si>
  <si>
    <t>WOS:000248430500005</t>
  </si>
  <si>
    <t>Andreev, MY; Blagoveshchensky, DV; Vystavnoi, VM; Mingalev, VS; Mingaleva, GI</t>
  </si>
  <si>
    <t>Andreev, M. Yu.; Blagoveshchensky, D. V.; Vystavnoi, V. M.; Mingalev, V. S.; Mingaleva, G. I.</t>
  </si>
  <si>
    <t>Interpretation of experimental data on HF propagation on the St. Petersburg-Spitsbergen path</t>
  </si>
  <si>
    <t>GEOMAGNETISM AND AERONOMY</t>
  </si>
  <si>
    <t>MAIN IONOSPHERIC TROUGH; IONIZATION TROUGHS; MODEL</t>
  </si>
  <si>
    <t>The experimental ionograms of the oblique-incidence sounding of the ionosphere, obtained on the St. Petersburg-Spitsbergen high-latitude HF radio path during the magnetically quiet period December 14-15, 2001, are compared with the model calculations of radiowave trajectories. For this purpose, the corresponding oblique-incidence ionograms are numerically synthesized using the technique based on the shooting method and the computer program for constructing HF radiowave trajectories. The three-dimensional electron density distribution, calculated using the mathematical model of the high-latitude ionosphere previously developed at the Polar Geophysical Institute (PGI), is used to model radio propagation. The numerical calculations make it possible mainly to explain the specific features of the experimental data on the oblique-incidence sounding of the ionosphere.</t>
  </si>
  <si>
    <t>Russian Acad Sci, Kola Sci Ctr, Polar Geophys Inst, Apatity 184209, Murmansk Oblast, Russia; St Petersburg State Univ, Aerosp Instrumentat, St Petersburg, Russia; Arctic &amp; Antarctic Res Inst, St Petersburg 199397, Russia</t>
  </si>
  <si>
    <t>Russian Academy of Sciences; Polar Geophysical Institute; Kola Science Centre of the Russian Academy of Sciences; Saint Petersburg State University of Aerospace Instrumentation; Saint Petersburg State University; Arctic &amp; Antarctic Research Institute</t>
  </si>
  <si>
    <t>Andreev, MY (corresponding author), Russian Acad Sci, Kola Sci Ctr, Polar Geophys Inst, Fersmana 14, Apatity 184209, Murmansk Oblast, Russia.</t>
  </si>
  <si>
    <t>Mingalev, Victor/B-3975-2017</t>
  </si>
  <si>
    <t>Mingalev, Victor/0000-0003-0341-6901</t>
  </si>
  <si>
    <t>0016-7932</t>
  </si>
  <si>
    <t>1555-645X</t>
  </si>
  <si>
    <t>GEOMAGN AERONOMY+</t>
  </si>
  <si>
    <t>Geomagn. Aeron.</t>
  </si>
  <si>
    <t>10.1134/S0016793207040111</t>
  </si>
  <si>
    <t>201SY</t>
  </si>
  <si>
    <t>WOS:000248854100011</t>
  </si>
  <si>
    <t>Hélière, F; Lin, CC; Corr, H; Vaughan, D</t>
  </si>
  <si>
    <t>Heliere, Florence; Lin, Chung-Chi; Corr, Hugh; Vaughan, David</t>
  </si>
  <si>
    <t>Radio echo sounding of Pine Island Glacier, West Antarctica:: Aperture synthesis processing and analysis of feasibility from space</t>
  </si>
  <si>
    <t>IEEE TRANSACTIONS ON GEOSCIENCE AND REMOTE SENSING</t>
  </si>
  <si>
    <t>airborne radar; Antarctica; ice sounding; satellite remote sensing; subglacial topography; synthetic aperture radar (SAR) processing; West Antarctic Ice Sheet</t>
  </si>
  <si>
    <t>ICE-SHEET</t>
  </si>
  <si>
    <t>Airborne radio echo sounding of the West Antarctic Ice Sheet over Pine Island Glacier was performed in the austral summer of 2004/2005 under the National Science Foundation's West Antarctic Ice Sheet Initiative. The British Antarctic Survey Hew its newly developed 150-MHz ice-sounding radar over Pine Island Glacier and collected approximately 35 000 km of sounding data. The synthetic aperture radar (SAR) technique was applied to process those data in order to enhance radar signatures from the bed. As a matter of fact, airborne ice-sounding radar systems are generally affected by surface clutter returns, masking the echoes Df internal layers and ice-bedrock transition at a large depth. Focused and unfocused (Doppler filtering) SAR techniques were compared, and their respective advantages/disadvantages were analyzed. Enhancement of bedrock detection at a large depth (&gt; 2000 in) through SAR processing is demonstrated. Finally, a simulation analysis was performed for assessing the feasibility of ice-sheet sounding from space. It is shown that the gain in bed detection threshold is marginal in the satellite sounding geometry.</t>
  </si>
  <si>
    <t>European Space Agcy, European Space Res &amp; Technol Ctr, Microwave Instruments Sect, NL-2201 AG Noordwijk, Netherlands; British Actarct Survey, Ice &amp; Climate Div, Cambridge, England</t>
  </si>
  <si>
    <t>European Space Agency; UK Research &amp; Innovation (UKRI); Natural Environment Research Council (NERC); NERC British Antarctic Survey</t>
  </si>
  <si>
    <t>Hélière, F (corresponding author), European Space Agcy, European Space Res &amp; Technol Ctr, Microwave Instruments Sect, NL-2201 AG Noordwijk, Netherlands.</t>
  </si>
  <si>
    <t>Vaughan, David/C-8348-2011; Corr, Hugh/C-5398-2011</t>
  </si>
  <si>
    <t>Vaughan, David/0000-0002-9065-0570</t>
  </si>
  <si>
    <t>IEEE-INST ELECTRICAL ELECTRONICS ENGINEERS INC</t>
  </si>
  <si>
    <t>PISCATAWAY</t>
  </si>
  <si>
    <t>445 HOES LANE, PISCATAWAY, NJ 08855-4141 USA</t>
  </si>
  <si>
    <t>0196-2892</t>
  </si>
  <si>
    <t>1558-0644</t>
  </si>
  <si>
    <t>IEEE T GEOSCI REMOTE</t>
  </si>
  <si>
    <t>IEEE Trans. Geosci. Remote Sensing</t>
  </si>
  <si>
    <t>10.1109/TGRS.2007.897433</t>
  </si>
  <si>
    <t>Geochemistry &amp; Geophysics; Engineering, Electrical &amp; Electronic; Remote Sensing; Imaging Science &amp; Photographic Technology</t>
  </si>
  <si>
    <t>Geochemistry &amp; Geophysics; Engineering; Remote Sensing; Imaging Science &amp; Photographic Technology</t>
  </si>
  <si>
    <t>195NO</t>
  </si>
  <si>
    <t>WOS:000248419100018</t>
  </si>
  <si>
    <t>Xie, XL; Du, J; Huang, QS; Shi, Y; Chen, QX</t>
  </si>
  <si>
    <t>Xie, Xiao-Lan; Du, Juan; Huang, Qiang-Sheng; Shi, Yan; Chen, Qing-Xi</t>
  </si>
  <si>
    <t>Inhibitory kinetics of bromacetic acid on β-N-acetyl-D-glucosaminidase from prawn (Penaeus vannamei)</t>
  </si>
  <si>
    <t>INTERNATIONAL JOURNAL OF BIOLOGICAL MACROMOLECULES</t>
  </si>
  <si>
    <t>Penaeus vannamei; beta-N-acetyl-D-glucosaminidase; bromacetic acids; inhibition; kinetics</t>
  </si>
  <si>
    <t>BROMOACETIC ACID; ANTARCTIC KRILL; BOMBYX-MORI; PURIFICATION; CHITOBIASE; ENZYME; GENE; HEPATOPANCREAS; PHOSPHATASE; CHITINASES</t>
  </si>
  <si>
    <t>beta-N-Acetyl-D-glucosaminidase (NAGase, EC.3.2.1.52), a composition of chitinases, cooperates with endo-chitinase and exo-chitinase to disintegrate chitin into N-acetylglucosamine (NAG). NAGase from prawn (Penaeus vannamei) is involved in digestion and molting processes. The investigation of enzymatic properties, functional groups and catalytic mechanism is an essential mission to its commercial application. Bromacetic acid (BrAc) is a specific modifier for the histidine residue in specific condition. In this paper, the effect of BrAc on prawn NAGase activity for the hydrolysis of pNP-NAG has been investigated. The results showed that BrAc can reversibly and non-competitively inhibit the enzyme activity at appropriate concentrations and the value of IC50 was estimated to be 17.05 +/- 0.65 mM. The inhibition kinetics of the enzyme by BrAc has been studied using the kinetic method of the substrate reaction. And the inhibition model was set up and the microscopic rate constants for the reaction of the inhibitor with free enzyme and the enzyme-substrate complexes were determined for inactivation and reactivation. The rate constant of the forward inactivation (k(+0)), which is 1.25 x 10(-3) s(-1), is about eight times as much as that of the reverse reactivation (k(-0)), which is 1.64 x 10(-4) s(-1). Therefore, when the BrAc concentration is sufficiently large, the enzyme is completely inactivated. (c) 2007 Published by Elsevier B.V.</t>
  </si>
  <si>
    <t>Xiamen Univ, Key Lab Minist Educ Cell Biol &amp; Tumor Cell Engn, Xiamen 361005, Peoples R China; Quanzhou Normal Univ, Sch Chem &amp; Life Sci, Quanzhou 362011, Peoples R China</t>
  </si>
  <si>
    <t>Xiamen University; Quanzhou Normal University</t>
  </si>
  <si>
    <t>Chen, QX (corresponding author), Xiamen Univ, Key Lab Minist Educ Cell Biol &amp; Tumor Cell Engn, Xiamen 361005, Peoples R China.</t>
  </si>
  <si>
    <t>chenqx@xmu.edu.cn</t>
  </si>
  <si>
    <t>Shi, Y/G-3964-2010; Chen, QX/G-4600-2010</t>
  </si>
  <si>
    <t>0141-8130</t>
  </si>
  <si>
    <t>INT J BIOL MACROMOL</t>
  </si>
  <si>
    <t>Int. J. Biol. Macromol.</t>
  </si>
  <si>
    <t>10.1016/j.ijbiomac.2007.03.010</t>
  </si>
  <si>
    <t>Biochemistry &amp; Molecular Biology; Chemistry, Applied; Polymer Science</t>
  </si>
  <si>
    <t>Biochemistry &amp; Molecular Biology; Chemistry; Polymer Science</t>
  </si>
  <si>
    <t>194PD</t>
  </si>
  <si>
    <t>WOS:000248355400013</t>
  </si>
  <si>
    <t>Kashin, FV; Radionov, VF; Grechko, EI</t>
  </si>
  <si>
    <t>Kashin, F. V.; Radionov, V. F.; Grechko, E. I.</t>
  </si>
  <si>
    <t>Variations in the total column amounts of carbon monoxide and methane in the Antarctic atmosphere</t>
  </si>
  <si>
    <t>IZVESTIYA ATMOSPHERIC AND OCEANIC PHYSICS</t>
  </si>
  <si>
    <t>SPECTROSCOPIC MEASUREMENTS</t>
  </si>
  <si>
    <t>The results of measuring the total contents of carbon monoxide and methane via the method of solar-absorption spectroscopy are presented. The measurements were performed at the Molodezhnaya Station in 1977-1978, at the Mirny Observatory from 1982 to 1992, and at the Novolazarevskaya Station from 2003 to 2006. The character of seasonal variations in the contents of these gases in the Antarctic atmosphere is described and compared to the intra-annual variation of their surface concentrations measured at the Syowa Station (Japan). Synchronous intra-annual variations in the contents of carbon monoxide in the atmospheric column and in its surface concentrations are observed, while the spring maximum content of methane is observed three months after the maximum of its surface concentration. Synchronous seasonal variations in the total content of methane and ozone are observed, which makes it possible to suggest that the Antarctic circumpolar vortex has a significant influence on the characteristics of the vertical distribution of methane during Antarctic spring. Quantitative estimates of the parameters of multiyear variations in the contents of CO and CH4 are given. The content of methane was increasing (although with different rates) during the entire observation period 1977-2006. The content of CO was observed to increase until 1992 and to decrease during 2003-2006.</t>
  </si>
  <si>
    <t>NPO Taifun, Obninsk 249038, Kaluga Oblast, Russia; Arctic &amp; Antarctic Res Inst, St Petersburg 199397, Russia; Russian Acad Sci, Oboukhou Inst Atmospher Phys, Moscow 119017, Russia</t>
  </si>
  <si>
    <t>Arctic &amp; Antarctic Research Institute; Russian Academy of Sciences; Obukhov Institute of Atmospheric Physics of Russian Academy of Sciences</t>
  </si>
  <si>
    <t>Kashin, FV (corresponding author), NPO Taifun, Pr Lenina 82, Obninsk 249038, Kaluga Oblast, Russia.</t>
  </si>
  <si>
    <t>kashin@typhoon.obninsk.ru; vradion@aari.nw.ru; eigrechko@gmail.com</t>
  </si>
  <si>
    <t>Radionov, Vladimir F./O-3038-2017</t>
  </si>
  <si>
    <t>0001-4338</t>
  </si>
  <si>
    <t>1555-628X</t>
  </si>
  <si>
    <t>IZV ATMOS OCEAN PHY+</t>
  </si>
  <si>
    <t>Izv. Atmos. Ocean. Phys.</t>
  </si>
  <si>
    <t>10.1134/S000143380704010X</t>
  </si>
  <si>
    <t>Meteorology &amp; Atmospheric Sciences; Oceanography</t>
  </si>
  <si>
    <t>207OL</t>
  </si>
  <si>
    <t>WOS:000249260300010</t>
  </si>
  <si>
    <t>Tshudy, D; Chan, TY; Sorhannus, U</t>
  </si>
  <si>
    <t>Tshudy, Dale; Chan, Tin-Yam; Sorhannus, Ulf</t>
  </si>
  <si>
    <t>Morphology based cladistic analysis of Metanephrops:: The most diverse extant genus of clawed lobster (Nephropidae)</t>
  </si>
  <si>
    <t>JOURNAL OF CRUSTACEAN BIOLOGY</t>
  </si>
  <si>
    <t>DECAPODA; CRUSTACEA</t>
  </si>
  <si>
    <t>We performed the first cladistic analysis of Metanephrops, the most diverse extant genus of clawed lobster, using a morphology-based data matrix of all 20 species of Metanephrops and 35 cladistically informative characters, all external hard parts. Unweighted cladistic analysis corroborates previous studies that indicated that homoplasy is rampant in the evolution of clawed lobsters. Only 5 of the 68 synapornorphies identified by the analysis are unambiguous, unreversed synapomorphies. Recent species of Metanephrops have traditionally been divided (non-cladistically) into four morphology-based groups. Cladistic analyses support the traditional, arafurensis, Atlantic/binghami, and japonicus groupings; these groups are monophyletic. The thomsoni group is not supported by the cladogram. The (two) oldest known fossil Metanephrops species occur in Late Cretaceous, shallow marine rocks of the eastem/Atlantic side of the Antarctic Peninsula. The stratigraphic and geographic occurrences of these fossil species are the basis for the previously hypothesized, Late Cretaceous, southern high latitude origin of Metanephrops. Cladistic results corroborate that Metanephrops originated in the southern high latitudes. The cladistically most plesiomorphic single species, the recent M. challengeri, and the next most plesiontorphic species, the Late Cretaceous M. rossensis, are both known from the high southern latitudes. Likewise, the most plesiomorphic species group, the binghami group, is best known from the high southern latitudes.</t>
  </si>
  <si>
    <t>Natl Taiwan Ocean Univ, Inst Marine Biol, Chilung 20224, Taiwan; Edinboro Univ Penn, Dept Geosci, Edinboro, PA 16412 USA; Edinboro Univ Penn, Dept Biol Sci, Edinboro, PA 16412 USA</t>
  </si>
  <si>
    <t>National Taiwan Ocean University; Pennsylvania State System of Higher Education (PASSHE); Edinboro University; Pennsylvania State System of Higher Education (PASSHE); Edinboro University</t>
  </si>
  <si>
    <t>Tshudy, D (corresponding author), Natl Taiwan Ocean Univ, Inst Marine Biol, Chilung 20224, Taiwan.</t>
  </si>
  <si>
    <t>dtshudy@edinboro.edu; tychan@mail.ntou.edu.tw; usorhannus@edinboro.edu</t>
  </si>
  <si>
    <t>0278-0372</t>
  </si>
  <si>
    <t>1937-240X</t>
  </si>
  <si>
    <t>J CRUSTACEAN BIOL</t>
  </si>
  <si>
    <t>J. Crustac. Biol.</t>
  </si>
  <si>
    <t>10.1651/S-2777.1</t>
  </si>
  <si>
    <t>Marine &amp; Freshwater Biology; Zoology</t>
  </si>
  <si>
    <t>196WE</t>
  </si>
  <si>
    <t>WOS:000248512600010</t>
  </si>
  <si>
    <t>Roosens, L; Van Den Brink, N; Riddle, M; Blust, R; Neels, H; Covaci, A</t>
  </si>
  <si>
    <t>Roosens, Laurence; Van Den Brink, Nico; Riddle, Martin; Blust, Ronny; Neels, Hugo; Covaci, Adrian</t>
  </si>
  <si>
    <t>Penguin colonies as secondary sources of contamination with persistent organic pollutants</t>
  </si>
  <si>
    <t>JOURNAL OF ENVIRONMENTAL MONITORING</t>
  </si>
  <si>
    <t>POLYBROMINATED DIPHENYL ETHERS; ARCTIC LAKE ECOSYSTEMS; ORGANOCHLORINE PESTICIDES; POLYCHLORINATED-BIPHENYLS; ADELIE PENGUIN; ANTARCTICA; TRANSPORT; BELGIUM; ISLAND; SOILS</t>
  </si>
  <si>
    <t>Although long-range atmospheric transport has been described as the predominant mechanism for exposing polar regions to persistent organic pollutants (POPs), recent studies have suggested that bird activity can also contribute substantially to contaminant levels in some environments. However, because the species so far reported have all been migratory, it has not been demonstrated conclusively whether locally elevated contamination represents transport from lower latitudes by the migrating birds or, alternatively, redistribution and concentration of contaminants that were already present in the high-latitude environments. The present study demonstrates, for the first time, that several POPs are present in elevated concentrations in an environment frequented by a non-migratory species (Adelie penguins) that spends its entire life in the Antarctic. Levels of POPs, such as p,p'-DDE, hexachlorobenzene (HCB), chlordanes (CHLs) and polychlorinated biphenyls (PCBs), were 10 to 100-fold higher in soil samples from penguin colonies than from reference areas. This significant difference is likely related to local penguin activity, such as a higher abundance of guano and the presence of bird carcasses. This hypothesis is also supported by a higher percentage of persistent congeners (PCB 99, 118, 138 and 153) in the soil from the colonies compared to the reference areas. This profile of PCB congeners closely matched profiles seen in penguin eggs or penguin blood.</t>
  </si>
  <si>
    <t>Univ Antwerp, Dept Pharmaceut Sci, Toxicol Ctr, B-2610 Antwerp, Belgium; Wageningen UR, Alterra, NL-6700 AA Wageningen, Netherlands; Australian Antarctic Div, Kingston, Tas, Australia; Univ Antwerp, Lab Ecophysiol Biochem &amp; Toxicol, Dept Biol, B-2020 Antwerp, Belgium</t>
  </si>
  <si>
    <t>University of Antwerp; Wageningen University &amp; Research; Australian Antarctic Division; University of Antwerp</t>
  </si>
  <si>
    <t>Covaci, A (corresponding author), Univ Antwerp, Dept Pharmaceut Sci, Toxicol Ctr, Univ Plein 1, B-2610 Antwerp, Belgium.</t>
  </si>
  <si>
    <t>adrian.covaci@ua.ac.be</t>
  </si>
  <si>
    <t>Covaci, Adrian/A-9058-2008; van den Brink, Paul J/E-8315-2013; NEELS, Hugo M/B-4721-2017</t>
  </si>
  <si>
    <t>Covaci, Adrian/0000-0003-0527-1136; Neels, Hugo/0000-0002-9034-168X; van den Brink, Nico/0000-0001-7959-3344</t>
  </si>
  <si>
    <t>ROYAL SOC CHEMISTRY</t>
  </si>
  <si>
    <t>THOMAS GRAHAM HOUSE, SCIENCE PARK, MILTON RD, CAMBRIDGE CB4 0WF, CAMBS, ENGLAND</t>
  </si>
  <si>
    <t>1464-0325</t>
  </si>
  <si>
    <t>J ENVIRON MONITOR</t>
  </si>
  <si>
    <t>J. Environ. Monit.</t>
  </si>
  <si>
    <t>10.1039/b708103k</t>
  </si>
  <si>
    <t>Chemistry, Analytical; Environmental Sciences</t>
  </si>
  <si>
    <t>Chemistry; Environmental Sciences &amp; Ecology</t>
  </si>
  <si>
    <t>206EA</t>
  </si>
  <si>
    <t>WOS:000249165500013</t>
  </si>
  <si>
    <t>Fraser, KPP; Clarke, A; Peck, LS</t>
  </si>
  <si>
    <t>Fraser, Keiron P. P.; Clarke, Andrew; Peck, Lloyd S.</t>
  </si>
  <si>
    <t>Growth in the slow lane:: protein metabolism in the Antarctic limpet Nacella concinna (Strebel 1908)</t>
  </si>
  <si>
    <t>polar; limpet; growth; protein synthesis</t>
  </si>
  <si>
    <t>BIVALVE YOLDIA-EIGHTSI; NUCLEIC-ACID CONTENT; SYNTHESIS RATES; SIGNY ISLAND; TEMPERATURE-ACCLIMATION; SYNTHESIS CAPACITIES; ONCORHYNCHUS-MYKISS; NITROGEN-EXCRETION; DYNAMIC ACTION; RAINBOW-TROUT</t>
  </si>
  <si>
    <t>Growth rates in Antarctic ectotherms are generally considered to be low in comparison to temperate and tropical species. Food consumption plays a major role in determining animal growth rates, but once food is ingested soft tissue growth rates are largely determined by the protein synthesis retention efficiency (PSRE), a measure of the efficiency with which proteins are synthesised and retained as protein growth. The effect of water temperatures on the PSRE of polar organisms has not previously been investigated, and it is possible that reduced PSRE at polar water temperatures may at least partially explain low growth rates in Antarctic organisms. We also currently lack any information on the potential effects of predicted increases in seawater temperatures on protein metabolism in Antarctic ectotherms. We have measured seasonal protein synthesis, degradation and growth rates in free-ranging Antarctic limpets (Nacella concinna), together with protein synthesis rates at temperatures ranging between -1.5 degrees C and 6.0 degrees C. PSRE were not significantly 20.59 +/- 4.45%), but values were considerably lower than those previously reported in temperate and tropical species. A meta- analysis of published ectotherm PSRE suggested there was a positive relationship with temperature ( y= 449.9 - 114.9x, r(2)= 28.8%, P&lt; 0.05). In turn, this suggests that temperature may be an important factor in determining ectotherm growth efficiency via an influence on PSRE. Maximal fractional and absolute protein synthesis rates occurred at similar to 1 degrees C in N. concinna, the approximate summer water temperature at the study site, and protein synthesis rates decreased above this temperature. In the absence of adaptation, predicted increases in Antarctic water temperatures would result in reduced, rather than increased, rates of protein synthesis and, in turn, possibly growth.</t>
  </si>
  <si>
    <t>British Antarctic Survey, Nat Environm Res Council, Cambridge CB3 0ET, England</t>
  </si>
  <si>
    <t>UK Research &amp; Innovation (UKRI); Natural Environment Research Council (NERC); NERC British Antarctic Survey</t>
  </si>
  <si>
    <t>Fraser, KPP (corresponding author), British Antarctic Survey, Nat Environm Res Council, High Cross,Madingley Rd, Cambridge CB3 0ET, England.</t>
  </si>
  <si>
    <t>kppf@bas.ac.uk</t>
  </si>
  <si>
    <t>Fraser, Keiron/0000-0001-5491-8376</t>
  </si>
  <si>
    <t>NERC [bas010015, dml011000] Funding Source: UKRI; Natural Environment Research Council [dml011000, bas010015] Funding Source: researchfish</t>
  </si>
  <si>
    <t>COMPANY BIOLOGISTS LTD</t>
  </si>
  <si>
    <t>BIDDER BUILDING, STATION RD, HISTON, CAMBRIDGE CB24 9LF, ENGLAND</t>
  </si>
  <si>
    <t>1477-9145</t>
  </si>
  <si>
    <t>10.1242/jeb.003715</t>
  </si>
  <si>
    <t>205LT</t>
  </si>
  <si>
    <t>WOS:000249116000020</t>
  </si>
  <si>
    <t>Rungruangsak-Torrissen, K</t>
  </si>
  <si>
    <t>Rungruangsak-Torrissen, Krisna</t>
  </si>
  <si>
    <t>Digestive efficiency, growth and qualities of muscle and oocyte in Atlantic salmon (Salmo salar L.) fed on diets with krill meal as an alternative protein source</t>
  </si>
  <si>
    <t>JOURNAL OF FOOD BIOCHEMISTRY</t>
  </si>
  <si>
    <t>FEED CONVERSION EFFICIENCY; FREE AMINO-ACIDS; HATCHING ENZYME; TRYPSIN; EGGS; DIGESTIBILITY; BUOYANCY; CAPACITY; INSULIN; TRACT</t>
  </si>
  <si>
    <t>Atlantic krill meal and Antarctic krill meal were tested to replace fish meal in Atlantic salmon diets. Different techniques were applied to precisely evaluate dietary quality and quality of fish growth performance. Inverse relationship between trypsin specific activity (T) and ratio of trypsin to chymotrypsin (T/C ratio) as a result of increased chymotrypsin specific activity (C) in the pyloric ceca indicated fish growth status as a reduction in growth rate. These protease values in the feces could also indicate fish digestive efficiency, but could not predict fish growth status. There were relationships among feed conversion efficiency (FCE), in vitro digestibility, and pyloric cecal T/C ratio, with inverse levels of krill meal in the diets. Krill meal seemed to increase muscle protein concentration through increasing protein retention, as capacity for protein synthesis was reduced. Dietary quality tests by in vitro digestibility were corresponded with growth studies, and indicated a possibility of inclusion of krill meal at 50-60% replacements, and larger fish were more sensitive to dietary quality than smaller ones. At 80-100% replacements, in vitro digestibility and FCE reduced, and oocyte quality changed through increased trypsin-like specific activity probably because of less or abnormal oocyte development.</t>
  </si>
  <si>
    <t>Inst Marine Res Matre, N-5984 Matredal, Norway</t>
  </si>
  <si>
    <t>Institute of Marine Research - Norway</t>
  </si>
  <si>
    <t>Rungruangsak-Torrissen, K (corresponding author), Inst Marine Res Matre, N-5984 Matredal, Norway.</t>
  </si>
  <si>
    <t>Krisnart@imr.no</t>
  </si>
  <si>
    <t>0145-8884</t>
  </si>
  <si>
    <t>1745-4514</t>
  </si>
  <si>
    <t>J FOOD BIOCHEM</t>
  </si>
  <si>
    <t>J. Food Biochem.</t>
  </si>
  <si>
    <t>10.1111/j.1745-4514.2007.00127.x</t>
  </si>
  <si>
    <t>Biochemistry &amp; Molecular Biology; Food Science &amp; Technology</t>
  </si>
  <si>
    <t>186ZX</t>
  </si>
  <si>
    <t>WOS:000247818200005</t>
  </si>
  <si>
    <t>Jung, G; Lee, CG; Kang, SH; Jin, E</t>
  </si>
  <si>
    <t>Jung, Gyeongseo; Lee, Choul-Gyun; Kang, Sung-Ho; Jin, Eonseon</t>
  </si>
  <si>
    <t>Annotation and expression profile analysis of cIDNAs from the Antarctic diatom Chaetoceros neogracile</t>
  </si>
  <si>
    <t>JOURNAL OF MICROBIOLOGY AND BIOTECHNOLOGY</t>
  </si>
  <si>
    <t>Chaetoceros neogracile; antarctic diatom; ESTs; cold adaptation</t>
  </si>
  <si>
    <t>FUCOXANTHIN-CHLOROPHYLL PROTEINS; GLUTATHIONE-S-TRANSFERASES; LIGHT-HARVESTING PROTEINS; PHOTOSYSTEM-II; CHLOROPLASTIC FTSH; QUALITY-CONTROL; REPAIR CYCLE; HSP90; ALGA; ACCLIMATION</t>
  </si>
  <si>
    <t>To better understand the gene expression of the cold-adapted polar diatom, we conducted a survey of the Chaetoceros neogracile transcriptome by cDNA sequencing and expression of interested cDNAs from the Antarctic diatom. A non-normalized cDNA library was constructed from the C. neogracile, and a total of 2,500 cDNAs were sequenced to generate 1,881 high-quality expressed sequence tags (ESTs) (accession numbers EL620615-EL622495). Based on their clustering, we identified 154 unique clusters comprising 342 ESTs. The remaining 1,540 ESTs did not cluster. The number of unique genes identified in the data set is thus estimated to be 1,694. Taking advantage of various tools and databases, putative functions were assigned to 939 (55.4%) of these genes. Of the remaining 540 (31.9%) unknown sequences, 215 (12.7%) appeared to be C. neogracile-specific since they lacked any significant sequence similarity to any sequence available in the public databases. C. neogracile consisted of a relatively high percentage of genes involved in metabolism, genetic information processing, cellular processes, defense or stress resistance, photosynthesis, structure, and signal transduction. From the ESTs, the expression of these putative C. neogracile genes was investigated: fucoxanthin chlorophyll (chl) a,c-binding protein (FCP), ascorbate peroxidase (ASP), and heat-shock protein 90 (HSP90). The abundance of ASP and HSP90 changed substantially in response to different culture conditions, indicating the possible regulation of these genes in C. neogracile.</t>
  </si>
  <si>
    <t>Hanyang Univ, Coll Nat Sci, Dept Life Sci, Seoul 133791, South Korea; Inha Univ, Inst Ind Biotechnol, Dept Biotechnol, Inchon 402751, South Korea; KOPRI, Polar Environm Res Div, Inchon 426744, South Korea</t>
  </si>
  <si>
    <t>Hanyang University; Inha University; Korea Polar Research Institute (KOPRI)</t>
  </si>
  <si>
    <t>Jin, E (corresponding author), Hanyang Univ, Coll Nat Sci, Dept Life Sci, Seoul 133791, South Korea.</t>
  </si>
  <si>
    <t>esjin@hanyang.ac.kr</t>
  </si>
  <si>
    <t>Jin, EonSeon/AAW-6839-2020</t>
  </si>
  <si>
    <t>Jin, EonSeon/0000-0001-5691-0124; Lee, Choul-Gyun/0000-0002-4684-7990</t>
  </si>
  <si>
    <t>KOREAN SOC MICROBIOLOGY &amp; BIOTECHNOLOGY</t>
  </si>
  <si>
    <t>SEOUL</t>
  </si>
  <si>
    <t>KOREA SCI TECHNOL CENTER #507, 635-4 YEOGSAM-DONG, KANGNAM-GU, SEOUL 135-703, SOUTH KOREA</t>
  </si>
  <si>
    <t>1017-7825</t>
  </si>
  <si>
    <t>1738-8872</t>
  </si>
  <si>
    <t>J MICROBIOL BIOTECHN</t>
  </si>
  <si>
    <t>J. Microbiol. Biotechnol.</t>
  </si>
  <si>
    <t>205KF</t>
  </si>
  <si>
    <t>WOS:000249111700014</t>
  </si>
  <si>
    <t>Gorbarenko, SA; Goldberg, EL; Kashgarian, M; Velivetskaya, TA; Zakharkov, SP; Pechnikov, VS; Bosin, AA; Psheneva, OY; Ivanova, ED</t>
  </si>
  <si>
    <t>Gorbarenko, Sergey Alexandrovich; Goldberg, Evgenia L'vovich; Kashgarian, Michaele; Velivetskaya, Tat'yana Alekseevna; Zakharkov, Sergey Petrovich; Pechnikov, Vladimir Stepanovich; Bosin, Alexandr Anatol'evich; Psheneva, Olga Yur'evna; Ivanova, Elena Diamilevna</t>
  </si>
  <si>
    <t>Millennium scale environment changes of the Okhotsk sea during last 80 kyr and their phase relationship with global climate changes</t>
  </si>
  <si>
    <t>JOURNAL OF OCEANOGRAPHY</t>
  </si>
  <si>
    <t>Okhotsk Sea; productivity; climate; millennial scale regional and global changes; synchronicity</t>
  </si>
  <si>
    <t>SANTA-BARBARA BASIN; BENTHIC FORAMINIFERA; NORTH-ATLANTIC; NORTHWESTERN PACIFIC; QUATERNARY SEDIMENTS; RAPID-DETERMINATION; OCEAN CIRCULATION; BOTTOM SEDIMENTS; SUSPENDED BARITE; MARINE BARITE</t>
  </si>
  <si>
    <t>The paper presents the records of several paleoproductivity proxies (PP) (biogenic opal and Ba (Si_bio, Ba_bio), organic carbon (C_org) and carbonate Ca_carb, chlorin and benthic foraminifera abundance (BFA)) in sediments of the Okhotsk Sea for the last 80 kyr with a resolution of similar to 100-300 years. The sediment age model was based on the AMS 14 C data, records of benthic foraminifera 3180, paleointensity of the Earth's geomagnetic field and magnetic susceptibility. PP values demonstrate series of severe prolonged productivity drops in the Okhotsk Sea followed by a sharp increase during the last glaciation. On the basis of quantitative estimations of the paleoproductivity in the Okhotsk Sea during the cold MIS 2 and warm Holocene (Gorbarenko and Goldberg, 2005), it is suggested that the millennium scale relationship in productivity-climate changes of this basin was similar: an increase in the sea's productivity was related with regional climate warming and vice-versa. The PP records of productivity/climate oscillations in the Okhotsk Sea during MIS 2-4 occurred contemporaneously with the North Atlantic cold Heinrich events (HE) and Greenland Dansgaard-Oyeshger interstadial (DOI). Observed successions of prolonged climate cooling events followed by rapid, abrupt warming are similar to climate and environmental oscillations in the N. Atlantic and Greenland, that confirms the millennium-scale climate changes synchronicities in the Northern Hemisphere including the far NW Pacific, the hydrology and climate conditions of which are close to those of the Okhotsk Sea. Synchronism of the N. Hemisphere severe cooling (including the Okhotsk Sea) with the Antarctic warming suggests that mechanisms of the seesaw effect (Blunier and Brook, 2001) in the low latitude heat redistribution between high latitudes of both hemispheres were more complicated than direct NADW formation forcing and encompasses the global atmospheric reorganization. Within the PP used a closer connection in the Okhotsk Sea millennium oscillations was observed for the C_org, BFA and chlorin; Ba_bio increases more closely to DOI. Si_bio variability does not show any evident correlation with productivity changes.</t>
  </si>
  <si>
    <t>Russian Acad Sci, Pacific Oceanol Inst, Far E Div, Vladivostok 690041, Russia; Russian Acad Sci, Inst Limnol, Siberian Branch, Irkutsk, Russia; Lawrence Livermore Natl Lab, Ctr AMS, Livermore, CA 94551 USA; Russian Acad Sci, Far E Geol Inst, Far E Div, Vladivostok 690022, Russia; Far Eastern State Univ, Vladivostok, Russia; Russian Acad Sci, Far E Div, Pacific Inst Geog, Vladivostok 690041, Russia</t>
  </si>
  <si>
    <t>Ilichev Pacific Oceanological Institute; Russian Academy of Sciences; Irkutsk Science Centre of the Russian Academy of Sciences; Russian Academy of Sciences; Limnological Institute SB RAS; United States Department of Energy (DOE); Lawrence Livermore National Laboratory; Russian Academy of Sciences; Far Eastern Federal University; Russian Academy of Sciences; Pacific Geographical Institute of the Far Eastern Branch of the Russian Academy of Sciences</t>
  </si>
  <si>
    <t>Gorbarenko, SA (corresponding author), Russian Acad Sci, Pacific Oceanol Inst, Far E Div, Baltiyskaya Str 43, Vladivostok 690041, Russia.</t>
  </si>
  <si>
    <t>gorbarenko@poi.dvo.ru</t>
  </si>
  <si>
    <t>Velivetskaya, Tatiana/ABD-2143-2020; Kashgarian, Michaele/E-1665-2011; Босин, Александр/T-4223-2017; Gorbarenko, Sergey A./A-7055-2016</t>
  </si>
  <si>
    <t>Kashgarian, Michaele/0000-0001-7824-8418; Босин, Александр/0000-0002-3994-2623;</t>
  </si>
  <si>
    <t>DORDRECHT</t>
  </si>
  <si>
    <t>VAN GODEWIJCKSTRAAT 30, 3311 GZ DORDRECHT, NETHERLANDS</t>
  </si>
  <si>
    <t>0916-8370</t>
  </si>
  <si>
    <t>1573-868X</t>
  </si>
  <si>
    <t>J OCEANOGR</t>
  </si>
  <si>
    <t>J. Oceanogr.</t>
  </si>
  <si>
    <t>10.1007/s10872-007-0054-1</t>
  </si>
  <si>
    <t>184LO</t>
  </si>
  <si>
    <t>WOS:000247643100006</t>
  </si>
  <si>
    <t>Cessi, P</t>
  </si>
  <si>
    <t>Cessi, Paola</t>
  </si>
  <si>
    <t>Regimes of thermocline scaling: The interaction of wind stress and surface buoyancy</t>
  </si>
  <si>
    <t>JOURNAL OF PHYSICAL OCEANOGRAPHY</t>
  </si>
  <si>
    <t>ANTARCTIC CIRCUMPOLAR CURRENT; POTENTIAL VORTICITY; OCEAN CIRCULATION; EDDIES; STRATIFICATION; TRANSPORT; HOMOGENIZATION; EQUILIBRIUM; ATMOSPHERE; TURBULENT</t>
  </si>
  <si>
    <t>The role of the relative geometry of mechanical forcing (wind stress) and buoyancy forcing (prescribed surface temperature) in the maintenance of the main thermocline is explored. In particular, the role of the wind stress curl in enhancing or suppressing the generation of baroclinic eddies is studied in simplified domains. The dependence of key quantities, such as the depth of the thermocline and the maximum heat transport, on the external parameters such as diapycnal mixing and dissipation rate is examined. Qualitatively different regimes are found depending on the relative phase of the wind stress and surface buoyancy distribution. The most efficient arrangement for eddy generation has Ekman pumping (suction) in conjunction with high (low) surface buoyancy. This corresponds to the situation found in the midlatitudes, where the surface Ekman flow carries heat toward the warmer region (i.e., upgradient of the surface temperature). In this case, strong eddy fluxes are generated in order to counteract the upgradient heat transport by the Ekman cell. The result is a thermocline whose depth is independent of the diapycnal diffusivity. However, the competition between these opposing heat fluxes leads to a weak net heat transport, proportional to the diffusivity responsible for the diabatic forcing. This arrangement of wind stress provides a large source of available potential energy on which eddies can grow, so the mechanical energy balance for the eddies is consistent with a substantial eddy heat flux. When the same surface temperature distribution is paired with the opposite wind stress curl, the mean flow produces a sink, rather than a source, of available potential energy and eddies are suppressed. With this arrangement, typical of low latitudes and the subpolar regions, the Ekman overturning cell carries heat downgradient of the surface temperature. Thus, the net heat transport is almost entirely due to the Ekman flow and is independent of the diapycnal diffusivity. At the same time the thermocline is a thin, diffusive boundary layer. Quantitative scalings for the thermocline depth and the poleward heat transport in these two limiting cases are contrasted and successfully compared with eddy-resolving computations.</t>
  </si>
  <si>
    <t>Univ Calif San Diego, Scripps Inst Oceanog, La Jolla, CA 92093 USA</t>
  </si>
  <si>
    <t>University of California System; University of California San Diego; Scripps Institution of Oceanography</t>
  </si>
  <si>
    <t>Cessi, P (corresponding author), Univ Calif San Diego, Scripps Inst Oceanog, 950 Gilman Dr,UCSD-0213, La Jolla, CA 92093 USA.</t>
  </si>
  <si>
    <t>pcessi@ucsd.edu</t>
  </si>
  <si>
    <t>0022-3670</t>
  </si>
  <si>
    <t>1520-0485</t>
  </si>
  <si>
    <t>J PHYS OCEANOGR</t>
  </si>
  <si>
    <t>J. Phys. Oceanogr.</t>
  </si>
  <si>
    <t>10.1175/JPO3103.1</t>
  </si>
  <si>
    <t>210GA</t>
  </si>
  <si>
    <t>WOS:000249443500002</t>
  </si>
  <si>
    <t>Delizo, L; Smith, WO; Hall, J</t>
  </si>
  <si>
    <t>Delizo, Liza; Smith, Walker O.; Hall, Julie</t>
  </si>
  <si>
    <t>Taxonomic composition and growth rates of phytoplankton assemblages at the Subtropical Convergence east of New Zealand</t>
  </si>
  <si>
    <t>JOURNAL OF PLANKTON RESEARCH</t>
  </si>
  <si>
    <t>CHLOROPHYLL-LABELING METHOD; COMMUNITY STRUCTURE; GRAZING IMPACT; CHATHAM RISE; PIGMENT; IRON; MICROZOOPLANKTON; VARIABILITY; REGION; CARBON</t>
  </si>
  <si>
    <t>Off the eastern coast of New Zealand, warm, saline, nutrient-poor Subtropical Waters (STW) are separated from. cool, fresher, relatively nutrient-rich Sub-Antarctic Waters (SAW) by the Subtropical Convergence (STC). The Chatham Rise, a submarine rise, restricts. the latitudinal movement of the STC as well as mixing of STW and SAW Due to this restriction, this sector of the STC is characterized by sharp gradients in temperature, macro-(nitrate, silicate and phosphate) and micro- (iron) nutrient concentrations. Shipboard incubations were conducted during austral spring 2000 and 2001 to test the hypothesis that these gradients affect the taxonomic composition and/or growth rates of phytoplankton on either side of and at the STC. Maximum chlorophyll a concentrations during 2000 were 0.39 mu g L-1 but were an order of magnitude higher in 2001. During both years, STC phytoplankton were dominated by diatoms (77% of the to a chlorophyll a during austral spring 2000 and 70% during spring 2001), whereas crytopytes and prasinopytes dominated STW,assemblages (27 and 36% during 2000, and 63 and 17% during 2001). Chlorophyll in the SAW was dominated by procaryotes and photosynthetic nanoflagellates during 2000 (17% procaryotes. 68% nanoflagellates), and by diatoms during the austral spring 2001 cruise (53%). Growth rates of the phytoplankton assemblage were determined by C-14-labeling of chlorophyll a and photosynthetic pigments. During 2000, temperature-normalized growth rates were near maximal ai the STC, and decreased on average to less than half of the maximum north and south of that front, whereas in 2001 both absolute and relative growth rates were low at all stations. Growth rates did not closely parallel biomass of the various taxa, suggesting that nutrient limitation and/or grazing were significantly impacting standing stocks. It appeared that growth was strongly influenced by nutrients and light, but that biomass was more strongly influenced by grazing The STC is a globally important region of enhanced biomass and productivity; however, the phytoplankton assemblage reflects control by both top-down and bottom-up processes that makes a predictive understanding of the area's biogeochemical cycles extremely difficult.</t>
  </si>
  <si>
    <t>Coll William &amp; Mary, Virginia Inst Marine Sci, Gloucester Point, VA 23062 USA; NIWA, Hamilton, New Zealand</t>
  </si>
  <si>
    <t>William &amp; Mary; Virginia Institute of Marine Science; National Institute of Water &amp; Atmospheric Research (NIWA) - New Zealand</t>
  </si>
  <si>
    <t>Smith, WO (corresponding author), Coll William &amp; Mary, Virginia Inst Marine Sci, Gloucester Point, VA 23062 USA.</t>
  </si>
  <si>
    <t>wos@vims.edu</t>
  </si>
  <si>
    <t>0142-7873</t>
  </si>
  <si>
    <t>1464-3774</t>
  </si>
  <si>
    <t>J PLANKTON RES</t>
  </si>
  <si>
    <t>J. Plankton Res.</t>
  </si>
  <si>
    <t>10.1093/plankt/fbm047</t>
  </si>
  <si>
    <t>Marine &amp; Freshwater Biology; Oceanography</t>
  </si>
  <si>
    <t>196TF</t>
  </si>
  <si>
    <t>Green Submitted, Bronze, Green Published</t>
  </si>
  <si>
    <t>WOS:000248504400001</t>
  </si>
  <si>
    <t>Sirovic, A; Hildebrand, JA; Wiggins, SM</t>
  </si>
  <si>
    <t>Sirovic, Ana; Hildebrand, John A.; Wiggins, Sean M.</t>
  </si>
  <si>
    <t>Blue and fin whale call source levels and propagation range in the Southern Ocean</t>
  </si>
  <si>
    <t>JOURNAL OF THE ACOUSTICAL SOCIETY OF AMERICA</t>
  </si>
  <si>
    <t>LOCATION; SOUNDS; VOCALIZATIONS; LOCALIZATION; MAMMALS; CONTEXT; SEA</t>
  </si>
  <si>
    <t>Blue (Balaenoptera musculus) and fin whales (B. physalus) produce high-intensity, low-frequency calls, which probably function for communication during mating and feeding. The source levels of blue and fin whale calls off the Western Antarctic Peninsula were calculated using recordings made with calibrated, bottom-moored hydrophones. Blue whales were located up to a range of 200 km using hyperbolic localization and time difference of arrival. The distance to fin whales, estimated using multipath arrivals of their calls, was up to 56 km. The error in range measurements was 3.8 km using hyperbolic localization, and 3.4 km using multipath arrivals. Both species produced high-intensity calls; the average blue whale call source level was 189 +/- 3 dB re: 1/mu Pa-1 m over 25-29 Hz, and the average fin whale call source level was 189 +/- 4 dB re: 1/mu Pa-1 m over 15-28 Hz. Blue and fin whale populations in the Southern Ocean have remained at low numbers for decades since they became protected; using source level and detection range from passive acoustic recordings can help in calculating the relative density of calling, whales. (C) 2007 Acoustical Society of America.</t>
  </si>
  <si>
    <t>Sirovic, A (corresponding author), NOAA, NMFS, SW Fisheries Sci Ctr, 8604 La Jolla Shores Dr, La Jolla, CA 92037 USA.</t>
  </si>
  <si>
    <t>ana.sirovic@noaa.gov</t>
  </si>
  <si>
    <t>Hildebrand, John A/ABA-6213-2022</t>
  </si>
  <si>
    <t>Hildebrand, John A/0000-0002-5418-9799; Sirovic, Ana/0000-0001-5097-1268</t>
  </si>
  <si>
    <t>ACOUSTICAL SOC AMER AMER INST PHYSICS</t>
  </si>
  <si>
    <t>MELVILLE</t>
  </si>
  <si>
    <t>STE 1 NO 1, 2 HUNTINGTON QUADRANGLE, MELVILLE, NY 11747-4502 USA</t>
  </si>
  <si>
    <t>0001-4966</t>
  </si>
  <si>
    <t>1520-8524</t>
  </si>
  <si>
    <t>J ACOUST SOC AM</t>
  </si>
  <si>
    <t>J. Acoust. Soc. Am.</t>
  </si>
  <si>
    <t>10.1121/1.2749452</t>
  </si>
  <si>
    <t>Acoustics; Audiology &amp; Speech-Language Pathology</t>
  </si>
  <si>
    <t>198RB</t>
  </si>
  <si>
    <t>WOS:000248644100048</t>
  </si>
  <si>
    <t>Berrisford, P; Hoskins, BJ; Tyrlis, E</t>
  </si>
  <si>
    <t>Berrisford, P.; Hoskins, B. J.; Tyrlis, E.</t>
  </si>
  <si>
    <t>Blocking and Rossby wave breaking on the dynamical tropopause in the Southern Hemisphere</t>
  </si>
  <si>
    <t>JOURNAL OF THE ATMOSPHERIC SCIENCES</t>
  </si>
  <si>
    <t>VARIABILITY; NORTHERN; PACIFIC; PROPAGATION; CLIMATOLOGY; FREQUENCY; WINTER; MODES; FLOW</t>
  </si>
  <si>
    <t>Rossby wave breaking on the dynamical tropopause in the Southern Hemisphere ( the -2-PVU surface) is investigated using the ERA-40 dataset. The indication of wave breaking is based on reversal in the meridional gradient of potential temperature, and persistent large-scale wave breaking is taken as a strong indication that blocking may be present. Blocking in the midlatitudes is found to occur predominantly during wintertime in the Pacific and is most vigorous in the east Pacific, while during summertime, the frequency of blocking weakens and its extent becomes confined to the west Pacific. The interannual variability of blocking is found to be high. Wave breaking occurs most frequently on the poleward side of the polar jet and has some, but not all, of the signatures of blocking, so it is referred to as high-latitude blocking. In general, cyclonic wave breaking occurs on the poleward side of the polar jet, otherwise anticyclonic breaking occurs. However, at least in wintertime, wave breaking in the New Zealand/west to mid-Pacific sector between the polar and subtropical jets is a mixture between cyclonic and anticyclonic types. Together, episodes of wave breaking and enhanced westerly flow describe much of the variability in the seasonal Antarctic Oscillation ( AnO) index and give a synoptic manifestation of it with a focus on the date line and Indian Ocean that is in agreement with the centers of action for the AnO. During summertime, anticyclonic wave breaking in the upper troposphere is also to be found near 30 S in both the Pacific and Atlantic, and appears to be associated with Rossby waves propagating into the subtropics from the New Zealand region.</t>
  </si>
  <si>
    <t>Univ Reading, Dept Meteorol, NCAS Climate, Reading RG6 6BB, Berks, England; Univ Reading, Walker Inst, Reading RG6 6BB, Berks, England</t>
  </si>
  <si>
    <t>University of Reading; UK Research &amp; Innovation (UKRI); Natural Environment Research Council (NERC); NERC National Centre for Atmospheric Science; University of Reading</t>
  </si>
  <si>
    <t>Berrisford, P (corresponding author), Univ Reading, Dept Meteorol, NCAS Climate, Reading RG6 6BB, Berks, England.</t>
  </si>
  <si>
    <t>p.berrisford@rdg.ac.uk</t>
  </si>
  <si>
    <t>Natural Environment Research Council [NER/A/S/2002/00760, NE/D011507/1, ncas10009] Funding Source: researchfish; NERC [NE/D011507/1] Funding Source: UKRI</t>
  </si>
  <si>
    <t>0022-4928</t>
  </si>
  <si>
    <t>1520-0469</t>
  </si>
  <si>
    <t>J ATMOS SCI</t>
  </si>
  <si>
    <t>J. Atmos. Sci.</t>
  </si>
  <si>
    <t>10.1175/JAS3984.1</t>
  </si>
  <si>
    <t>199WW</t>
  </si>
  <si>
    <t>WOS:000248726900007</t>
  </si>
  <si>
    <t>Bodkin, JL; Monson, DH; Esslinger, GG</t>
  </si>
  <si>
    <t>Bodkin, James L.; Monson, Daniel H.; Esslinger, George G.</t>
  </si>
  <si>
    <t>Activity budgets derived from time-depth recorders in a diving mammal</t>
  </si>
  <si>
    <t>JOURNAL OF WILDLIFE MANAGEMENT</t>
  </si>
  <si>
    <t>Alaska; behavior; diving; Enhydra lutris; population assessment; population status; sea otter; TDR; time budget; time-depth recorders</t>
  </si>
  <si>
    <t>SEA OTTER POPULATION; ANTARCTIC FUR SEALS; ACTIVITY PATTERNS; BEHAVIOR; REPRODUCTION; GUILLEMOTS; ABUNDANCE; SURVIVAL; DYNAMICS; ISLAND</t>
  </si>
  <si>
    <t>We describe a method to convert continuously collected time-depth data from archival time-depth recorders (TDRs) into activity budgets for a benthic-foraging marine mammal. We used data from 14 TDRs to estimate activity- specific time budgets in sea otters (Enhydra lutris) residing near Cross Sound, southeast Alaska, USA. From the TDRs we constructed a continuous record of behavior for each individual over 39-46 days during summer of 1999. Behaviors were classified as foraging (diving to the bottom), other diving (traveling, grooming, interacting), and nondiving (assumed resting). The overall average activity budget (proportion of 24-hr/d) was 0.37 foraging (8.9 hr/d), 0.11 in other diving (2.6 hr/d), and 0.52 nondiving time (12.5 hr/d). We detected significant differences in activity budgets among individuals and between groups within our sample. Historically, the sea otter population in our study area had been expanding and sequentially reoccupying vacant habitat since their reintroduction to the area in the 1960s, and our study animals resided in 2 adjacent yet distinct locations. Males (n = 5) and individuals residing in recently occupied habitat (n = 4) spent 0.28-0.30 of their time foraging (6.7-7.2 hr/d), 0.17-0.18 of their time in other diving behaviors (4.1-4.3 hr/d), and 0.53-0.54 of their time resting (12.7-13.0 hr/d). In contrast, females (n = 9) and individuals residing in longer occupied habitat (n = 10) spent 0.40 of their time foraging (9.6 hr/d), 0.08-0.09 of their time in other diving behaviors (1.9-2.2 hr/d), and 0.51-0.52 of their time resting (12.2-12.5 hr/d). Consistent with these differences, sea otters residing in more recently occupied habitat captured more and larger clams (Saxidomus spp., Protothaca spp., Macoma spp., Mya spp., Clinocardium spp.) and other prey, and intertidal clams were more abundant and larger in this area. We found that TDRs provided data useful for measuring activity time budgets and behavior patterns in a diving mammal over long and continuous time periods. Fortuitous contrasts in time budgets between areas where our study animals resided suggest that activity time budgets estimated from TDRs may be a sensitive indicator of population status, particularly in relation to prey availability.</t>
  </si>
  <si>
    <t>Alaska Sci Ctr, US Geol Survey, Anchorage, AK 99503 USA</t>
  </si>
  <si>
    <t>United States Department of the Interior; United States Geological Survey</t>
  </si>
  <si>
    <t>Bodkin, JL (corresponding author), Alaska Sci Ctr, US Geol Survey, 1011 E Tudor Rd, Anchorage, AK 99503 USA.</t>
  </si>
  <si>
    <t>OHJames_Bodkin@usgs.gov</t>
  </si>
  <si>
    <t>Monson, Daniel/N-4469-2013</t>
  </si>
  <si>
    <t>Monson, Daniel/0000-0002-4593-5673</t>
  </si>
  <si>
    <t>0022-541X</t>
  </si>
  <si>
    <t>1937-2817</t>
  </si>
  <si>
    <t>J WILDLIFE MANAGE</t>
  </si>
  <si>
    <t>J. Wildl. Manage.</t>
  </si>
  <si>
    <t>10.2193/2006-258</t>
  </si>
  <si>
    <t>Ecology; Zoology</t>
  </si>
  <si>
    <t>Environmental Sciences &amp; Ecology; Zoology</t>
  </si>
  <si>
    <t>198VK</t>
  </si>
  <si>
    <t>WOS:000248655400038</t>
  </si>
  <si>
    <t>Staniland, IJ; Boyd, IL; Reid, K</t>
  </si>
  <si>
    <t>Staniland, I. J.; Boyd, I. L.; Reid, K.</t>
  </si>
  <si>
    <t>An energy-distance trade-off in a central-place forager, the Antarctic fur seal (Arctocephalus gazella)</t>
  </si>
  <si>
    <t>MARINE BIOLOGY</t>
  </si>
  <si>
    <t>EUPHAUSIA-SUPERBA; BREEDING-SEASON; PREY; DIET; KRILL; TIME; VARIABILITY; BEHAVIOR</t>
  </si>
  <si>
    <t>We tested the prediction that lactating fur seals (Arctocephalus gazella) at South Georgia will take prey of greater energy density with increasing distance of foraging from the colony. The study investigated the differences in diet of fur seals foraging within two regions, one near the breeding colony and the other at greater distance. Diet varied significantly in relation to foraging location. Dietary items of low quality were eaten in both regions but more food items with a high-energy content appeared in the diet of seals travelling to distant oceanic waters. We conclude that there is likely to be a trade-off between energy gain and distance travelled which enables female fur seals to maintain a relatively constant rate of energy delivery to their offspring irrespective of the distance travelled to find food.</t>
  </si>
  <si>
    <t>NERC, British Antarct Survey, Cambridge CB3 0ET, England; Univ St Andrews, Gatty Marine Lab, Sea Mammal Res Unit, St Andrews KY16 0HS, Fife, Scotland</t>
  </si>
  <si>
    <t>UK Research &amp; Innovation (UKRI); Natural Environment Research Council (NERC); NERC British Antarctic Survey; University of St Andrews</t>
  </si>
  <si>
    <t>Staniland, IJ (corresponding author), NERC, British Antarct Survey, High Cross,Madingley Rd, Cambridge CB3 0ET, England.</t>
  </si>
  <si>
    <t>ijst@bas.ac.uk</t>
  </si>
  <si>
    <t>Staniland, Iain/I-4725-2012</t>
  </si>
  <si>
    <t>Staniland, Iain/0000-0003-2736-9134</t>
  </si>
  <si>
    <t>SPRINGER HEIDELBERG</t>
  </si>
  <si>
    <t>HEIDELBERG</t>
  </si>
  <si>
    <t>TIERGARTENSTRASSE 17, D-69121 HEIDELBERG, GERMANY</t>
  </si>
  <si>
    <t>0025-3162</t>
  </si>
  <si>
    <t>1432-1793</t>
  </si>
  <si>
    <t>MAR BIOL</t>
  </si>
  <si>
    <t>Mar. Biol.</t>
  </si>
  <si>
    <t>10.1007/s00227-007-0698-9</t>
  </si>
  <si>
    <t>Marine &amp; Freshwater Biology</t>
  </si>
  <si>
    <t>192GR</t>
  </si>
  <si>
    <t>WOS:000248189300002</t>
  </si>
  <si>
    <t>Shigemitsu, M; Narita, H; Watanabe, YW; Harada, N; Tsunogai, S</t>
  </si>
  <si>
    <t>Shigemitsu, Masahito; Narita, Hisashi; Watanabe, Yutaka W.; Harada, Naomi; Tsunogai, Shizuo</t>
  </si>
  <si>
    <t>Ba, Si, U, Al, Sc, La, Th, C and 13C/12C in a sediment core in the western subarctic Pacific as proxies of past biological production</t>
  </si>
  <si>
    <t>MARINE CHEMISTRY</t>
  </si>
  <si>
    <t>Ba; opal; C; C-13/C-12; U; eolian dust; sediment; North Pacific</t>
  </si>
  <si>
    <t>VOSTOK ICE CORE; NORTH PACIFIC; NORTHWESTERN PACIFIC; ORGANIC-MATTER; DEEP-SEA; OCEAN; BARIUM; TRANSPORT; OPAL; PALEOPRODUCTIVITY</t>
  </si>
  <si>
    <t>A sediment core covering the last 145 kyrs was collected in the western subarctic Pacific (WSAP), and analyzed for Ba, U, Al, Sc, La, Yb, Th, biogenic opal (Opal) and organic carbon (C-org) as well as its isotopic ratio (delta(13) C). This study examined the change of past biological production in WSAP with multiple proxies, together with understanding the relation between Loess from the Asian continent and the biological production. The Loess content was estimated from the metal components, Al, Sc, La, Yb and Th. In this high latitude core (50 degrees N), the Loess content was generally high during the glacial periods, but it was also high even in some interglacial periods. The excess amount of Ba relative to the detrital material composition, Ba-ex, showed the best correlation with the Vostok delta D (r= 0.72, p &lt; 0.001), indicating that the biological production was lower in the glacial periods than in the interglacials. This corroborates the pervasive correlation between Ba-ex in the polar region, WSAP and the Antarctic Sea, and Antarctic temperature, combined with previous research. This correlation might be explained by the stratification caused by cooling. In addition, the time variations of Ba-ex in WSAP were similar to those of Ba-ex in the Okhotsk Sea and of other proxies (C-org, and Opal) in both the Okhotsk and the Bering Sea, indicating the spatial homogeneity of Ba-ex in WSAP including proximal marginal seas. The Opal content was more weakly correlated with the Vostok delta D (r= 0.46, p &lt; 0.001) than Ba-ex, reflecting that Opal in WSAP including proximal marginal seas was spatially heterogeneous compared to Ba-ex. While both the C-org content and U-ex, the excess amount of U relative to the detritus composition, were not positively correlated with the Vostok delta D, they behaved similarly in the sediments. The positive correlation between delta C-13 and the Vostok delta D (r = 0.42, p &lt; 0.001), between 613 C and Ba,x (r= 0.60, p &lt; 0.00 1) and between delta C-13 and Opal (r=0.36, p &lt; 0.01) indicates that 613C in WSAP may give some information on the phytoplankton growth rate. There was not a significant correlation between the spatially homogeneous Ba x in WSAP and Loess (r= - 0. 1 6, p &gt; 0.01), suggesting that the increase of biological production with the increase of Loess supply during the glacial periods did not occur. (c) 2007 Elsevier B.V. All rights reserved.</t>
  </si>
  <si>
    <t>Hokkaido Univ, Grad Sch Environm Sci, Sapporo, Hokkaido 0600810, Japan; Tokai Univ, Sch Marine Sci &amp; Technol, Shizuoka 4248610, Japan; Japan Agcy Marine Earth Sci &amp; Technol, Inst Observat Res Global Change, Yokosuka, Kanagawa 2370061, Japan</t>
  </si>
  <si>
    <t>Hokkaido University; Tokai University; Japan Agency for Marine-Earth Science &amp; Technology (JAMSTEC)</t>
  </si>
  <si>
    <t>Shigemitsu, M (corresponding author), Hokkaido Univ, Grad Sch Environm Sci, Kita 10 Nishi 5, Sapporo, Hokkaido 0600810, Japan.</t>
  </si>
  <si>
    <t>ma-shige@ees.hokudai.ac.jp</t>
  </si>
  <si>
    <t>0304-4203</t>
  </si>
  <si>
    <t>1872-7581</t>
  </si>
  <si>
    <t>MAR CHEM</t>
  </si>
  <si>
    <t>Mar. Chem.</t>
  </si>
  <si>
    <t>10.1016/j.marchem.2007.04.004</t>
  </si>
  <si>
    <t>Chemistry, Multidisciplinary; Oceanography</t>
  </si>
  <si>
    <t>Chemistry; Oceanography</t>
  </si>
  <si>
    <t>212MM</t>
  </si>
  <si>
    <t>WOS:000249600600003</t>
  </si>
  <si>
    <t>Yamashita, Y; Tsukasaki, A; Nishida, T; Tanoue, E</t>
  </si>
  <si>
    <t>Yamashita, Youhei; Tsukasaki, Ayumi; Nishida, Tamihito; Tanoue, Eiichiro</t>
  </si>
  <si>
    <t>Vertical and horizontal distribution of fluorescent dissolved organic matter in the Southern Ocean</t>
  </si>
  <si>
    <t>dissolved organic matter; biogeochemical cycle; fluorescence; nutrients; apparent oxygen utilization; Southern Ocean</t>
  </si>
  <si>
    <t>OPTICAL-PROPERTIES; HUMIC SUBSTANCES; CARBON; MARINE; SEA; ABSORPTION; PACIFIC; DOM; ENVIRONMENTS; CIRCULATION</t>
  </si>
  <si>
    <t>The vertical and horizontal distribution of fluorescent dissolved organic matter (FDOM), determined by fluorescence intensity at 320 nm excitation and 420 nm emission, were clarified in nine stations on two transects at the Southern Ocean, including a subtropical, subantarctic, polar frontal and Antarctic zone. All vertical profiles of fluorescence intensity showed that levels were lowest in the surface waters, increased with increasing the depth in mid-depth waters (similar to 2000 m), and then stayed within a relatively narrow range from there to the bottom. Such vertical profiles of FDOM were similar to those of nutrients, but were adverse to dissolved oxygen. In water columns below the temperature-minimum subsurface water (dichothermal waters) in the Antarctic zone and below the winter mixed layer in the other zones, we determined the relationships of fluorescence intensity to concentrations of nutrients and apparent oxygen utilization (AOU) over the entire area of the present study, and found significant linear correlations between the levels of fluorescence intensity and nutrient concentrations (r= 0.70 and 0.71 for phosphate and nitrate + nitrite, respectively) and AOU (r= 0.91). From the strong correlation coefficient between fluorescence intensity and AOU, we concluded that FDOM in the Southern Ocean is formed in situ via the biological oxidation of organic matter. The regeneration of the nutrients/consumption of the oxygen/formation of FDOM was active in mid-depth waters. However, the correlations between fluorescence intensities and nutrients and AOU were different in the mid-depth water masses, Subantarctic Mode Water (SAMW), and Antarctic Intermediate Water (AAIW), indicating that the sources of organic matter responsible for FDOM formation were different. A considerable amount of FDOM in the SAMW is thought to be produced by the remineralization of DOM in addition to sinking particulate organic matter, while DOM is less responsible for FDOM formation in the AAIW. (c) 2007 Elsevier B.V. All rights reserved.</t>
  </si>
  <si>
    <t>Nagoya Univ, Grad Sch Environm Studies, Dept Earth &amp; Environm Sci, Nagoya, Aichi 4648601, Japan</t>
  </si>
  <si>
    <t>Nagoya University</t>
  </si>
  <si>
    <t>Yamashita, Y (corresponding author), Florida Int Univ, SE Environm Res Ctr, Miami, FL 33199 USA.</t>
  </si>
  <si>
    <t>yamashiy@fiu.edu</t>
  </si>
  <si>
    <t>van den Berg, Constant MG/A-7065-2012; Yamashita, Youhei/A-3858-2012; Tsukasaki, Ayumi/L-3271-2018</t>
  </si>
  <si>
    <t>Yamashita, Youhei/0000-0002-9415-8743; Tsukasaki, Ayumi/0000-0002-6253-5049</t>
  </si>
  <si>
    <t>10.1016/j.marchem.2007.05.004</t>
  </si>
  <si>
    <t>WOS:000249600600008</t>
  </si>
  <si>
    <t>[Anonymous]</t>
  </si>
  <si>
    <t>Antarctic icebergs are hotspots of ocean Life</t>
  </si>
  <si>
    <t>MARINE POLLUTION BULLETIN</t>
  </si>
  <si>
    <t>0025-326X</t>
  </si>
  <si>
    <t>1879-3363</t>
  </si>
  <si>
    <t>MAR POLLUT BULL</t>
  </si>
  <si>
    <t>Mar. Pollut. Bull.</t>
  </si>
  <si>
    <t>Environmental Sciences; Marine &amp; Freshwater Biology</t>
  </si>
  <si>
    <t>206CU</t>
  </si>
  <si>
    <t>WOS:000249162300006</t>
  </si>
  <si>
    <t>Holt, SJ</t>
  </si>
  <si>
    <t>Holt, Sidney J.</t>
  </si>
  <si>
    <t>Whaling: Will the phoenix rise again?</t>
  </si>
  <si>
    <t>It is argued that Japan's authorities and entrepreneurs involved in whaling and the whale-meat trade have a long-term goal of rebuilding a large and profitable industry of pelagic whaling, particularly in the Southern Hemisphere, in the next 20 years or so. They have made large investments in this enterprise since the so-called moratorium on commercial whaling was adopted by the International Whaling Commission in 1982. These include, but are not confined to, state subsidizing of an expanding and diversifying 20-year programme of commercial whaling under provisions in all relevant international agreements since 1937 that permit unlimited and unilaterally decreed whaling, supposedly for scientific purposes, provided that the commodities from the whales killed are fully utilized. The context of this is the monopoly of technical knowledge, special skills and the market for valuable whale-meat that Japanese enterprises acquired in the post-world war 11 period, having broken - in 1937 - the strongly defended de facto Anglo-Norwegian monopoly of technology, skills, access to Antarctic whaling grounds and the market for whale-oil that had existed until then. The attraction of 'scientific whaling' is not only that it by-passes any internationally agreed catch-limits but that it also circumvents all other rules - many dating fr/om the League of Nations whaling convention of 1931 - regarding protected species, closed areas, killing of juveniles, less inhumane killing methods, etc. The groundwork is being laid to justify that resumed whaling on partially recovered whale stocks will be at the unsustainable levels that will be profitable again. This justification is based on spurious assertions that numerous and hungry whales threaten the world's fisheries, and that the abundance and possible increase in some whale species is impeding the recovery of other, severely depleted, and potentially more valuable species such as the blue whale. If the scenario presented here is correct it has important implications for attempts by the international community either to bring a negotiated end to commercial whaling or to bring all whaling back under international control, as the international law of the sea requires, and to ensure that any permitted exploitation of recovered whale populations will be sustainable, under a precautionary regime. (C) 2007 Elsevier Ltd. All rights reserved.</t>
  </si>
  <si>
    <t>Holt, SJ (corresponding author), Voc Palazzetta 68, I-06060 Paciano, PG, Italy.</t>
  </si>
  <si>
    <t>sidneyholt@mac.com</t>
  </si>
  <si>
    <t>10.1016/j.marpolbul.2007.05.011</t>
  </si>
  <si>
    <t>WOS:000249162300012</t>
  </si>
  <si>
    <t>Arai, T; Takeda, H; Yamaguchi, A; Ohtake, M</t>
  </si>
  <si>
    <t>Arai, T.; Takeda, H.; Yamaguchi, A.; Ohtake, M.</t>
  </si>
  <si>
    <t>Lithology of lunar farside crust</t>
  </si>
  <si>
    <t>METEORITICS &amp; PLANETARY SCIENCE</t>
  </si>
  <si>
    <t>70th Annual Meeting of the Meteoritical-Society</t>
  </si>
  <si>
    <t>AUG 13-17, 2007</t>
  </si>
  <si>
    <t>Tucson, AZ</t>
  </si>
  <si>
    <t>Natl Inst Polar Res, Antarctic Meteorite Res Ctr, Tokyo 1738515, Japan; Univ Tokyo, Dept Earth &amp; Planetary Sci, Tokyo 1130033, Japan; JAXA, Japan Aerosp Explorat Agcy, Planetary Sci Dept, Sagamihara, Kanagawa 2298510, Japan</t>
  </si>
  <si>
    <t>Research Organization of Information &amp; Systems (ROIS); National Institute of Polar Research (NIPR) - Japan; University of Tokyo; Japan Aerospace Exploration Agency (JAXA)</t>
  </si>
  <si>
    <t>tomoko@nipr.ac.jp</t>
  </si>
  <si>
    <t>1086-9379</t>
  </si>
  <si>
    <t>1945-5100</t>
  </si>
  <si>
    <t>METEORIT PLANET SCI</t>
  </si>
  <si>
    <t>Meteorit. Planet. Sci.</t>
  </si>
  <si>
    <t>A14</t>
  </si>
  <si>
    <t>200HZ</t>
  </si>
  <si>
    <t>WOS:000248755800011</t>
  </si>
  <si>
    <t>Barrat, JA; Yamaguchi, A; Greenwood, RC; Bohn, M; Cotten, J; Benoit, M; Franchi, IA</t>
  </si>
  <si>
    <t>Barrat, J. A.; Yamaguchi, A.; Greenwood, R. C.; Bohn, M.; Cotten, J.; Benoit, M.; Franchi, I. A.</t>
  </si>
  <si>
    <t>Are Stannern-trend eucrites ordinary eucrites contaminated by crustal partial melts?</t>
  </si>
  <si>
    <t>CNRS, UMR 6538, UBO, IUEM, F-29280 Plouzane, France; Natl Inst Polar Res, Antarctic Meteorite Res Ctr, Tokyo 1738515, Japan; Open Univ, PSSRI, Milton Keynes MK7 6AA, Bucks, England</t>
  </si>
  <si>
    <t>Centre National de la Recherche Scientifique (CNRS); CNRS - National Institute for Earth Sciences &amp; Astronomy (INSU); Universite de Bretagne Occidentale; Institut Universitaire Europeen de la Mer (IUEM); Research Organization of Information &amp; Systems (ROIS); National Institute of Polar Research (NIPR) - Japan; Open University - UK</t>
  </si>
  <si>
    <t>barrat@univ-brest.fr</t>
  </si>
  <si>
    <t>Benoit, Mathieu/A-1420-2011; Benoit, Mathieu/F-4708-2019; Jean-Alix, BARRAT/F-8035-2012; Barrat, Jean Alix/C-8416-2017</t>
  </si>
  <si>
    <t>Benoit, Mathieu/0000-0002-0134-4863; Barrat, Jean Alix/0000-0003-3158-3109</t>
  </si>
  <si>
    <t>METEORITICAL SOC</t>
  </si>
  <si>
    <t>FAYETTEVILLE</t>
  </si>
  <si>
    <t>DEPT CHEMISTRY/BIOCHEMISTRY, UNIV ARKANSAS, FAYETTEVILLE, AR 72701 USA</t>
  </si>
  <si>
    <t>A17</t>
  </si>
  <si>
    <t>WOS:000248755800016</t>
  </si>
  <si>
    <t>Choi, BG; Lee, JI; Ahn, I; Han, JM; Kusakabe, M</t>
  </si>
  <si>
    <t>Choi, B.-G.; Lee, J. I.; Ahn, I.; Han, J. M.; Kusakabe, M.</t>
  </si>
  <si>
    <t>Antarctic meteorites recovered from Thiel Mountains, West Antarctica, by the First Korea Expedition for Antarctic Meteorites</t>
  </si>
  <si>
    <t>Seoul Natl Univ, Dept Earth Sci, Seoul 151748, South Korea; Korea Polar Res Inst, Inchon, South Korea</t>
  </si>
  <si>
    <t>Seoul National University (SNU); Korea Polar Research Institute (KOPRI); Korea Institute of Ocean Science &amp; Technology (KIOST)</t>
  </si>
  <si>
    <t>bchoi@snu.ac.kr</t>
  </si>
  <si>
    <t>Kusakabe, Minoru/Q-3258-2019</t>
  </si>
  <si>
    <t>A30</t>
  </si>
  <si>
    <t>WOS:000248755800043</t>
  </si>
  <si>
    <t>Engrand, C; Briois, C; Thirkell, L; Cottin, H</t>
  </si>
  <si>
    <t>Engrand, C.; Briois, C.; Thirkell, L.; Cottin, H.</t>
  </si>
  <si>
    <t>A Concordia Antarctic micrometeorite used as a cometary proxy for the analyses of COSIMA onboard Rosetta</t>
  </si>
  <si>
    <t>Ctr Spectrometrie Nucl &amp; Spectrometrie Masse, F-91405 Orsay, France; CNRS, LPCE, UMR 6115, F-45071 Orleans, France; Univ Paris 12, LISA, F-94010 Creteil, France; Univ Paris 07, LISA, F-94010 Creteil, France</t>
  </si>
  <si>
    <t>Universite Paris Saclay; Centre National de la Recherche Scientifique (CNRS); Universite Paris Cite; Universite Paris-Est-Creteil-Val-de-Marne (UPEC); Universite Paris-Est-Creteil-Val-de-Marne (UPEC); Universite Paris Cite</t>
  </si>
  <si>
    <t>Cecile.Engrand@csnsm.in2p3.fr</t>
  </si>
  <si>
    <t>Cottin, Hervé/M-6154-2019; briois, christelle/B-2170-2015; Cottin, Hervé/H-5654-2013</t>
  </si>
  <si>
    <t>Cottin, Hervé/0000-0001-9170-5265; Cottin, Hervé/0000-0001-9170-5265</t>
  </si>
  <si>
    <t>A42</t>
  </si>
  <si>
    <t>WOS:000248755800067</t>
  </si>
  <si>
    <t>Mardon, A; Zalcik, M</t>
  </si>
  <si>
    <t>Mardon, A.; Zalcik, M.</t>
  </si>
  <si>
    <t>The potential existence of analogue Pleistocene meteorite placers in formerly glaciated regions of Russia when compared to Antarctic meteorite placers</t>
  </si>
  <si>
    <t>DEPOSITS</t>
  </si>
  <si>
    <t>Antarctic Inst Canada, Edmonton, AB T5J 2M4, Canada</t>
  </si>
  <si>
    <t>amardon@shaw.ca; bluegrama@shaw.ca</t>
  </si>
  <si>
    <t>A96</t>
  </si>
  <si>
    <t>WOS:000248755800175</t>
  </si>
  <si>
    <t>Misawa, K; Yamaguchi, A</t>
  </si>
  <si>
    <t>Misawa, K.; Yamaguchi, A.</t>
  </si>
  <si>
    <t>U-Pb ages of NWA 856 baddeleyite</t>
  </si>
  <si>
    <t>METEORITES</t>
  </si>
  <si>
    <t>Antarctic Meteorite Res Ctr, Natl Inst Polar Res, Tokyo 1738515, Japan</t>
  </si>
  <si>
    <t>Research Organization of Information &amp; Systems (ROIS); National Institute of Polar Research (NIPR) - Japan</t>
  </si>
  <si>
    <t>misawa@nipr.ac.jp</t>
  </si>
  <si>
    <t>A108</t>
  </si>
  <si>
    <t>WOS:000248755800199</t>
  </si>
  <si>
    <t>Wilson, RC; Pearson, VK; Turner, DC; Morgan, GH; Franchi, IA; Wright, IP; Gilmour, I</t>
  </si>
  <si>
    <t>Wilson, R. C.; Pearson, V. K.; Turner, D. C.; Morgan, G. H.; Franchi, I. A.; Wright, I. P.; Gilmour, I.</t>
  </si>
  <si>
    <t>Simulating the organic and volatile contributions to planetary surfaces and atmospheres from extraterrestrial dust</t>
  </si>
  <si>
    <t>ANTARCTIC MICROMETEORITES; AMINO-ACIDS</t>
  </si>
  <si>
    <t>Open Univ, Planetary &amp; Space Sci Res Inst, Milton Keynes MK7 6AA, Bucks, England</t>
  </si>
  <si>
    <t>Open University - UK</t>
  </si>
  <si>
    <t>r.c.wilson@open.ac.uk</t>
  </si>
  <si>
    <t>Wilson, Robert Christopher/JBJ-2758-2023</t>
  </si>
  <si>
    <t>Wilson, Robert Christopher/0000-0002-9668-4691</t>
  </si>
  <si>
    <t>A164</t>
  </si>
  <si>
    <t>WOS:000248755800310</t>
  </si>
  <si>
    <t>Zalcik, M; Mardon, AA</t>
  </si>
  <si>
    <t>Zalcik, M.; Mardon, A. A.</t>
  </si>
  <si>
    <t>Planetary waves as a transport medium of European noctilucent clouds after the Tunguska event of 1908</t>
  </si>
  <si>
    <t>Noctilucent Cloud Canadian Amer Network, Edmonton, AB T5J 2M4, Canada; Antarctic Inst Canada, Edmonton, AB T5J 2M4, Canada</t>
  </si>
  <si>
    <t>bluegrama@shaw.ca; amardon@shaw.ca</t>
  </si>
  <si>
    <t>A168</t>
  </si>
  <si>
    <t>WOS:000248755800319</t>
  </si>
  <si>
    <t>Lancaster, ML; Bradshaw, CJA; Goldsworthy, SD; Sunnucks, P</t>
  </si>
  <si>
    <t>Lancaster, Melanie L.; Bradshaw, Corey J. A.; Goldsworthy, Simon D.; Sunnucks, Paul</t>
  </si>
  <si>
    <t>Lower reproductive success in hybrid fur seal males indicates fitness costs to hybridization</t>
  </si>
  <si>
    <t>MOLECULAR ECOLOGY</t>
  </si>
  <si>
    <t>Arctocephalus; hybrid fitness; mean d(2); microsatellite; paternity; reproductive isolation</t>
  </si>
  <si>
    <t>ARCTOCEPHALUS-GAZELLA; PARENTAL RELATEDNESS; PATERNITY INFERENCE; HALDANES RULE; STERILITY; SURVIVAL; FATHERS; ISLAND</t>
  </si>
  <si>
    <t>Hybridization among organisms can potentially contribute to the processes of evolution, but this depends on the fitness of hybrids relative to parental species. A small, recently formed population of fur seals on subantarctic Macquarie Island contains a high proportion of hybrids (17-30%) derived from combinations of three parental species: Antarctic, subantarctic and New Zealand fur seals. Mitochondrial control-region data (restriction fragment length polymorphisms) and nine microsatellites were used to determine the species composition of breeding adults, and hybrid male fitness was measured by comparing reproductive success (number of genetically inferred paternities) of hybrid and pure-species territory males over 6 years. No correlations were found between male reproductive success and three genetic measures of outbreeding, but this may be due to a relatively small number of dominant males analysed. Territory males fathered 63% of pups, but hybrid males had lower reproductive success than pure-species males despite having the same ability to hold territories. A greater proportion of females in hybrid male territories conceived extra-territorially than those in territories of pure-species males, and most (70 of 82) mated with conspecifics. This suggests the presence of reproductive isolating mechanisms that promote positive assortative mating and reduce the production of hybrid offspring. Although we found no evidence for male sterility in the population, mechanisms that reduce lifetime reproductive success may act to decrease the frequency of hybrids. Our study has identified a disadvantage of hybridization - reduced reproductive success of hybrid sons - that may be contributing to the persistence of pure lineages at Macquarie Island and the temporal decline in hybridization observed there.</t>
  </si>
  <si>
    <t>La Trobe Univ, Dept Zool, Bundoora, Vic 3083, Australia; Charles Darwin Univ, Inst Adv Studies, Sch Environm Res, Darwin, NT 0909, Australia; S Australian Res &amp; Dev Inst, Adelaide, SA 5024, Australia; Monash Univ, Australian Ctr Biodivers Anal Policy &amp; Management, Clayton, Vic 3800, Australia</t>
  </si>
  <si>
    <t>La Trobe University; Charles Darwin University; Monash University</t>
  </si>
  <si>
    <t>Lancaster, ML (corresponding author), La Trobe Univ, Dept Zool, Bundoora, Vic 3083, Australia.</t>
  </si>
  <si>
    <t>melanie.lancaster@sci.monash.edu.au</t>
  </si>
  <si>
    <t>Bradshaw, Corey J. A./A-1311-2008</t>
  </si>
  <si>
    <t>Bradshaw, Corey J. A./0000-0002-5328-7741; Sunnucks, Paul/0000-0002-8139-7059; Goldsworthy, Simon/0000-0003-4988-9085</t>
  </si>
  <si>
    <t>0962-1083</t>
  </si>
  <si>
    <t>1365-294X</t>
  </si>
  <si>
    <t>MOL ECOL</t>
  </si>
  <si>
    <t>Mol. Ecol.</t>
  </si>
  <si>
    <t>10.1111/j.1365-294X.2007.03339.x</t>
  </si>
  <si>
    <t>Biochemistry &amp; Molecular Biology; Ecology; Evolutionary Biology</t>
  </si>
  <si>
    <t>Biochemistry &amp; Molecular Biology; Environmental Sciences &amp; Ecology; Evolutionary Biology</t>
  </si>
  <si>
    <t>201QL</t>
  </si>
  <si>
    <t>WOS:000248847600011</t>
  </si>
  <si>
    <t>Ackermand, D; Hekinian, R; Stoffers, R</t>
  </si>
  <si>
    <t>Ackermand, D.; Hekinian, R.; Stoffers, R.</t>
  </si>
  <si>
    <t>Mineralogy of magmatic sulfides and transition metal oxides from lavas of the Pitcairn Hotspot and the Pacific Antarctic Ridge</t>
  </si>
  <si>
    <t>NEUES JAHRBUCH FUR MINERALOGIE-ABHANDLUNGEN</t>
  </si>
  <si>
    <t>submarine volcanism; pentlandite; pyrrhotite; cubanite; titanomagnetite; Ti-bearing chromite</t>
  </si>
  <si>
    <t>MID-ATLANTIC RIDGE; SOUTH-PACIFIC; SOLUBILITY; VOLCANISM; PETROLOGY; ELEMENTS; BASALT; SULFUR; ROCKS</t>
  </si>
  <si>
    <t>Transition metals (Fe, Co, Ni, Cu, Zn, Ti, Cr, and Mn) forming sulfides and oxides are found in a large variety of lava flows erupted on the sea floor of the South Pacific at the Pitcairn Hotspot and the Pacific Antarctic Ridge. These volcanic rocks consist of an enriched alkaline series (basanite-alkali basalt-trachybasalt-trachyandesite) and a depleted tholeiitic series (MORB -basaltic andesite-andesite-dacite). The distribution of the sulfides and oxides found in globules and as disseminated (&lt; 1-5%) crystals in the rocks is controlled by the degree of fractional crystallization. The formation of these constituents reflects the decrease of the bulk transition metal content in the rock. Sulfide globules of pentlandite, pyrrhotite and cubanite are prominent in the intermediate and evolved rocks. Ti-bearing chromite and titanomagnetite are mainly concentrated in the least evolved (picritic alkali basalt, basanite, alkali basalt) and in the silica-rich (trachyte, andesite, dacite) lavas, respectively. The paragenesis of sulfide globules and oxides also correlates with the magma evolution during crystal-liquid fractionation.</t>
  </si>
  <si>
    <t>Univ Kiel, Inst Geowissensch, D-24098 Kiel, Germany; Keryunan, F-29290 St Renan, France</t>
  </si>
  <si>
    <t>University of Kiel</t>
  </si>
  <si>
    <t>Ackermand, D (corresponding author), Univ Kiel, Inst Geowissensch, Olshaussenstr 40, D-24098 Kiel, Germany.</t>
  </si>
  <si>
    <t>da@min.uni-kiel.de</t>
  </si>
  <si>
    <t>E SCHWEIZERBARTSCHE VERLAGSBUCHHANDLUNG</t>
  </si>
  <si>
    <t>STUTTGART</t>
  </si>
  <si>
    <t>NAEGELE U OBERMILLER, SCIENCE PUBLISHERS, JOHANNESSTRASSE 3A, D 70176 STUTTGART, GERMANY</t>
  </si>
  <si>
    <t>0077-7757</t>
  </si>
  <si>
    <t>NEUES JB MINER ABH</t>
  </si>
  <si>
    <t>Neues Jahrb. Mineral.-Abh.</t>
  </si>
  <si>
    <t>10.1127/0077-7757/2007/0081</t>
  </si>
  <si>
    <t>Mineralogy</t>
  </si>
  <si>
    <t>201BD</t>
  </si>
  <si>
    <t>WOS:000248805600006</t>
  </si>
  <si>
    <t>Bogorodsky, PV; Pnyushkov, AV</t>
  </si>
  <si>
    <t>Bogorodsky, P. V.; Pnyushkov, A. V.</t>
  </si>
  <si>
    <t>A simple model for seawater crystallization in the temperature spectrum</t>
  </si>
  <si>
    <t>OCEANOLOGY</t>
  </si>
  <si>
    <t>SOLIDIFICATION; ALLOY</t>
  </si>
  <si>
    <t>A model of sea ice growth as an expanded region of a phase transition (mushy zone) with a linear temperature profile is developed. The linear temperature distribution agrees with the mushy zone by introducing an equivalent porosity determined by its thermodynamical condition. This approach does not require any a priori information about the dependence of the porosity on the temperature and salinity; it rather allows us to obtain this relation from a solution of the mathematical problem. The model makes it possible to calculate the thickness of the growing ice and to estimate its main characteristics as well as the heat capacity of the underice layer under the conditions of undisturbed growth at any moment of the autumn-winter season up to its maximal thickness with account for the snow accumulation, basin depth, varying regime of cooling, and water salinity.</t>
  </si>
  <si>
    <t>Arctic &amp; Antarctic Res Inst, St Petersburg 199226, Russia</t>
  </si>
  <si>
    <t>Arctic &amp; Antarctic Research Institute</t>
  </si>
  <si>
    <t>Bogorodsky, PV (corresponding author), Arctic &amp; Antarctic Res Inst, St Petersburg 199226, Russia.</t>
  </si>
  <si>
    <t>bogorodski@aari.mv.ru</t>
  </si>
  <si>
    <t>Pnyushkov, Andrey/J-4153-2014; Pnyushkov, Andrey/M-3156-2019</t>
  </si>
  <si>
    <t>Pnyushkov, Andrey/0000-0001-9112-6458; Pnyushkov, Andrey/0000-0001-9112-6458</t>
  </si>
  <si>
    <t>0001-4370</t>
  </si>
  <si>
    <t>1531-8508</t>
  </si>
  <si>
    <t>OCEANOLOGY+</t>
  </si>
  <si>
    <t>Oceanology</t>
  </si>
  <si>
    <t>10.1134/S0001437007040078</t>
  </si>
  <si>
    <t>208ID</t>
  </si>
  <si>
    <t>WOS:000249312100007</t>
  </si>
  <si>
    <t>Demidov, AB; Vedernikov, VI; Sheberstov, SV</t>
  </si>
  <si>
    <t>Demidov, A. B.; Vedernikov, V. I.; Sheberstov, S. V.</t>
  </si>
  <si>
    <t>Spatiotemporal variability of chlorophyll a in the Altantic and Indian sectors of the Southern Ocean during February-April of 2000 according to satellite and expeditionary data</t>
  </si>
  <si>
    <t>ANTARCTIC SEA-ICE; ATLANTIC SECTOR; PHYTOPLANKTON BIOMASS; PHYSICAL CONTROLS; SURFACE WATERS; FRONTAL ZONES; PRODUCTIVITY; DYNAMICS; COMMUNITIES; COLOR</t>
  </si>
  <si>
    <t>In February and April 2000, in the Southern Ocean between Africa and Antarctica, the concentration of chlorophyll (C-chs) in the surface layer was not high (0.1-0.3 mg/m(3)). The zones of increased C-chs values (0.6-2.0 and over 2.0 mg/m(3)) were located between the Southern Subtropical and Subantarctic fronts, near the Polar front, and to the south of the Antarctic Divergence. From February to April, in the open areas of the Southern Ocean, a general C-chs decrease was observed. A similar trend was also noted in the near-shore seas of the East Antarctic. At the shelf of the Sea of Cosmonauts, within the upper mixed layer, the content of chlorophyll amounted to 0.34-0.37 mg/m(3). In the area of the continental slope, we registered the formation of a subsurface chlorophyll maximum (0.52-0.56 mg/m(3)) at a 20-m depth, which deepened to 70 m when passing to the deep-water area. The positive correlation with a high coefficient (r = 0.939) between the field and satellite data (C-chs and C-sat, respectively) allows one to conclude about the applicability of the SeaWiFS algorithm for the estimation of the chlorophyll content within the surface layer in the Antarctic areas studied. In the course of the ice formation in Prydz Bay, during five days, the content of chlorophyll in different phases of the new ice increased by a factor of 2.9, whereas the values of this parameter in the surrounding waters remained quite invariable. The C-sat values were 6.3 times as high as those obtained experimentally for the sludge ice. Because of the large areas occupied by floating ice, the sole usage of satellite data may cause great errors in the productivity estimation of the East Antarctic seas.</t>
  </si>
  <si>
    <t>Russian Acad Sci, PP Shirshov Oceanol Inst, Moscow, Russia</t>
  </si>
  <si>
    <t>Russian Academy of Sciences; Shirshov Institute of Oceanology</t>
  </si>
  <si>
    <t>Demidov, AB (corresponding author), Russian Acad Sci, PP Shirshov Oceanol Inst, Moscow, Russia.</t>
  </si>
  <si>
    <t>demspa@rambler.ru</t>
  </si>
  <si>
    <t>Demidov, Andrey/G-1043-2014; Sheberstov, Sergey/G-1566-2014</t>
  </si>
  <si>
    <t>Demidov, Andrey/0000-0002-1370-079X; Sheberstov, Sergey/0000-0001-8489-2859</t>
  </si>
  <si>
    <t>10.1134/S000143700704008X</t>
  </si>
  <si>
    <t>WOS:000249312100008</t>
  </si>
  <si>
    <t>Morley, SA; Peck, LS; Miller, AJ; Pörtner, HO</t>
  </si>
  <si>
    <t>Morley, Simon A.; Peck, Lloyd S.; Miller, Andrew J.; Poertner, Hans O.</t>
  </si>
  <si>
    <t>Hypoxia tolerance associated with activity reduction is a key adaptation for Laternula elliptica seasonal energetics</t>
  </si>
  <si>
    <t>OECOLOGIA</t>
  </si>
  <si>
    <t>oxygen; seasonal dormancy; siphoning behaviour; food availability; inter-annual variability</t>
  </si>
  <si>
    <t>ANTARCTIC BIVALVE; MAMMALIAN HIBERNATION; OXYCONFORMITY; CONSTRAINTS; ECOSYSTEMS; METABOLISM; EXCRETION; RESPONSES; ENERGY</t>
  </si>
  <si>
    <t>Seasonal dormancy is a widespread mechanism for reducing energy expenditure during periods of low energy availability. Seasonal variation in activity and the cost of pumping water through the siphons were investigated to estimate the importance of activity regulation to the seasonal energy budget of the Antarctic clam, Laternula elliptica. In the laboratory, a metabolic rate of 26.35 mu mol O-2 h(-1) was estimated for a 50-mm shell length L. elliptica pumping water at -0.4 degrees C. In the field, the proportion of time siphons were visible at the sediment surface varied seasonally (32% visible in June/July compared to 86% in December/January). L. elliptica were actively pumping for a minimum of 19% of each 24-h period during winter (August) compared to a summer maximum when animals were actively pumping for 73% of the time (February). This resulted in a 3.7-fold seasonal difference in the calculated energy consumption of a 50-mm L. elliptica (19.2 mu mol O-2 h(-1) in February versus 5.0 mu mol O-2 h(-1) in August), which closely matches the 3.0-fold seasonal variation in metabolic rate found previously. Seasonal variation in activity could therefore be responsible for much of the seasonal difference in energy consumption of L. elliptica. Inter-annual variation in timing of the seasonal activity maxima (January 2004 and March 1999) was correlated with variation in the timing of the summer plankton bloom in Ryder Bay. In the laboratory, periods of extended siphon closure (133 +/- 114 min, mean +/- SD) were accompanied by long periods of heart arrhythmia (167 +/- 135 min), during which time blood oxygen levels dropped to values close to zero. Heart arrhythmia is most likely part of a hypo-metabolic adaptation to reduce energy costs during extended periods of siphon closure. Physiological and behavioural dormancy, with associated hypoxia tolerance, appear to be key mechanisms controlling the seasonal energy budget of L. elliptica.</t>
  </si>
  <si>
    <t>British Antarctic Survey, NERC, Cambridge CB3 0ET, England; Alfred Wegener Inst Polar &amp; Marine Res, D-17515 Bremerhaven, Germany</t>
  </si>
  <si>
    <t>UK Research &amp; Innovation (UKRI); Natural Environment Research Council (NERC); NERC British Antarctic Survey; Helmholtz Association; Alfred Wegener Institute, Helmholtz Centre for Polar &amp; Marine Research</t>
  </si>
  <si>
    <t>Morley, SA (corresponding author), British Antarctic Survey, NERC, High Cross,Madingley Rd, Cambridge CB3 0ET, England.</t>
  </si>
  <si>
    <t>smor@bas.ac.uk</t>
  </si>
  <si>
    <t>Pörtner, Hans-O./K-9429-2016; Pörtner, Hans-O./ISU-9397-2023</t>
  </si>
  <si>
    <t>Pörtner, Hans-O./0000-0001-6535-6575; Miller, Andrew John/0000-0002-3298-4978</t>
  </si>
  <si>
    <t>NERC [bas010015, dml011000] Funding Source: UKRI; Natural Environment Research Council [bas010015, dml011000] Funding Source: researchfish</t>
  </si>
  <si>
    <t>233 SPRING ST, NEW YORK, NY 10013 USA</t>
  </si>
  <si>
    <t>0029-8549</t>
  </si>
  <si>
    <t>1432-1939</t>
  </si>
  <si>
    <t>Oecologia</t>
  </si>
  <si>
    <t>10.1007/s00442-007-0720-4</t>
  </si>
  <si>
    <t>192AJ</t>
  </si>
  <si>
    <t>WOS:000248172800004</t>
  </si>
  <si>
    <t>Varpe, O; Jorgensen, C; Tarling, GA; Fiksen, O</t>
  </si>
  <si>
    <t>Varpe, Oystein; Jorgensen, Christian; Tarling, Geraint A.; Fiksen, Oyvind</t>
  </si>
  <si>
    <t>Early is better: seasonal egg fitness and timing of reproduction in a zooplankton life-history model</t>
  </si>
  <si>
    <t>OIKOS</t>
  </si>
  <si>
    <t>CALANOIDES-ACUTUS COPEPODA; DIEL VERTICAL MIGRATION; CALANUS-FINMARCHICUS; NEOCALANUS-CRISTATUS; CLIMATE-CHANGE; DECLINES; CYCLE; MOSQUITOFISH; MORTALITY; PREDATION</t>
  </si>
  <si>
    <t>Timing of reproduction influences future prospects of offspring and therefore the reproductive value of parents. Early offspring are often more valuable than later ones when food availability and predation risk fluctuate seasonally. Marine zooplankton have evolved a diversity of life history strategies in response to seasonality. We present a state-dependent life history model for the annual and herbivorous high-latitude copepod Calanoides acutus. Individuals are characterised by four states; developmental stage, structural size, energy reserves and vertical location. There are two habitats, a surface habitat with seasonal predation risk and food availability, and a safer deep habitat with no food and low metabolism (diapause). Optimal life histories (diapause and energy allocation strategies) are found by dynamic programming. Seasonal egg fitness (reproductive value) emerges from the model and peak values are typically before the feeding season. Disentangling the fitness components, we conclude that seasonality in egg fitness is caused both by environmental seasonality in food and predation risk and by time-constraints on development and diapause preparation. Realised egg production, as predicted from population simulations, does not match the seasonal peak in offspring fitness but is delayed relative to peak egg fitness. We term this an 'internal life history mismatch' as constraints and tradeoffs cause sub-optimal bird dates for most eggs whereas mothers maximise their reproductive value by high number of eggs rather than few and optimally timed eggs. The earliest eggs have a disproportionately high contribution to population recruitment, emphasising the importance of early eggs and the need to understand seasonal patterns in offspring fitness.</t>
  </si>
  <si>
    <t>Univ Bergen, Dept Biol, NO-5020 Bergen, Norway; British Antarctic Survey, Nat Environm Res Council, Cambridge CB3 0ET, England</t>
  </si>
  <si>
    <t>University of Bergen; UK Research &amp; Innovation (UKRI); Natural Environment Research Council (NERC); NERC British Antarctic Survey</t>
  </si>
  <si>
    <t>Varpe, O (corresponding author), Univ Bergen, Dept Biol, PO Box 7800, NO-5020 Bergen, Norway.</t>
  </si>
  <si>
    <t>oystein.varpe@bio.uib.no</t>
  </si>
  <si>
    <t>Varpe, Øystein/B-9693-2008; Fiksen, Øyvind/M-4402-2019; Jørgensen, Christian/B-4453-2009; Fiksen, Øyvind/F-1771-2011</t>
  </si>
  <si>
    <t>Varpe, Øystein/0000-0002-5895-6983; Jørgensen, Christian/0000-0001-7087-4625; Fiksen, Øyvind/0000-0002-9687-5842</t>
  </si>
  <si>
    <t>0030-1299</t>
  </si>
  <si>
    <t>1600-0706</t>
  </si>
  <si>
    <t>Oikos</t>
  </si>
  <si>
    <t>10.1111/j.2007.0030-1299.15893.x</t>
  </si>
  <si>
    <t>199FH</t>
  </si>
  <si>
    <t>WOS:000248681100008</t>
  </si>
  <si>
    <t>Creuwels, JCS; Poncet, S; Hodum, PJ; van Franeker, JA</t>
  </si>
  <si>
    <t>Creuwels, Jeroen C. S.; Poncet, Sally; Hodum, Peter J.; van Franeker, Jan A.</t>
  </si>
  <si>
    <t>Distribution and abundance of the Southern Fulmar Fulmarus glacialoides</t>
  </si>
  <si>
    <t>POLAR BIOLOGY</t>
  </si>
  <si>
    <t>fulmarine petrels; procellariiformes; seabirds; Antarctica; population estimation; census methodology</t>
  </si>
  <si>
    <t>BREEDING SEABIRDS; ANTARCTIC PETRELS; WINDMILL ISLANDS; PRYDZ BAY; ADELIE; BIRDS; ALBATROSSES; FISHERIES; ARDERY; OCEAN</t>
  </si>
  <si>
    <t>We reviewed published and unpublished literature to establish the status of the breeding distribution and abundance of Southern Fulmars Fulmarus glacialoides. The species breeds widely throughout the Antarctic and on peri-Antarctic islands. From breeding population data collated from 73 of these localities, we estimated the minimum global population to be about 400,000 breeding pairs. After adjusting for seasonal variation in numbers of breeding pairs based on studies at Ardery Island, East Antarctica, the total global population is estimated to be at least one million breeding pairs. Of this, 72% nest on islands of the Scotia Sea arc and the South Atlantic Ocean. The precision of the estimate on the total number of breeding pairs is low, as several colony estimates were only available as orders of magnitude. Furthermore, different timing of the surveys and the difficulties of censusing colonial cliff-nesting birds reduced the count accuracy. Currently, there are no known threats to the global population, although the effects of fishery activities are not fully known.</t>
  </si>
  <si>
    <t>Wageningen IMARES, NL-1790 AD Den Burg, Netherlands; Univ Groningen, Dept Marine Benthic Ecol &amp; Evolut, NL-9750 AA Haren, Netherlands; Calif State Univ Long Beach, Dept Biol Sci, Long Beach, CA 90840 USA</t>
  </si>
  <si>
    <t>Wageningen University &amp; Research; University of Groningen; California State University System; California State University Long Beach</t>
  </si>
  <si>
    <t>Creuwels, JCS (corresponding author), Wageningen IMARES, PO Box 167, NL-1790 AD Den Burg, Netherlands.</t>
  </si>
  <si>
    <t>jeroen@creuwels.nl</t>
  </si>
  <si>
    <t>0722-4060</t>
  </si>
  <si>
    <t>1432-2056</t>
  </si>
  <si>
    <t>POLAR BIOL</t>
  </si>
  <si>
    <t>Polar Biol.</t>
  </si>
  <si>
    <t>10.1007/s00300-007-0276-0</t>
  </si>
  <si>
    <t>189EI</t>
  </si>
  <si>
    <t>WOS:000247971800001</t>
  </si>
  <si>
    <t>Snell, KRS; Convey, P; Newsham, KK</t>
  </si>
  <si>
    <t>Snell, K. R. S.; Convey, P.; Newsham, K. K.</t>
  </si>
  <si>
    <t>Metabolic recovery of the Antarctic liverwort Cephaloziella varians during spring snowmelt</t>
  </si>
  <si>
    <t>anthocyanin-like pigment; carotenoids; chlorophyll a and b; chlorophyll fluorescence; photosystem II; UV-B screening pigments</t>
  </si>
  <si>
    <t>PHOTOSYNTHESIS; LICHENS; ANTHOCYANINS; BRYOPHYTES; RESPONSES; CRYPTOGAMS; GROWTH; LEAVES; ICE</t>
  </si>
  <si>
    <t>We measured the responses of pigments and chlorophyll a fluorescence parameters of the Antarctic leafy liverwort Cephaloziella varians to snowmelt during austral spring 2005 at Rothera Point on the western Antarctic Peninsula. Although no changes to the concentrations of UV-B photoprotective pigments were detected during snowmelt, chlorophyll and carotenoid concentrations and maximum photosystem (PS)II yield (F-v/F-m) were respectively 88, 60 and 144% higher in the tissues of the liverwort that had recently emerged from snow than in those under a 10 cm depth of snow. A laboratory experiment similarly showed that effective PSII yield increased rapidly within the first 45 min after plants sampled from under snow were removed to an illuminated growth cabinet. The pigmentation and PSII yields of plants during snowmelt were also compared with those of plants in January, during the middle of the growing season at Rothera Point. During snowmelt, plants had lower F-v/F-m values, chlorophyll a/b ratios and concentrations of UV-B photoprotective pigments and carotenoids than during mid-season, suggesting that although there is some recovery of PSII activity and increases in concentrations of photosynthetic pigments during snowmelt, the metabolism of C. varians is restricted during this period.</t>
  </si>
  <si>
    <t>British Antarctic Survey, Natl Environm Res Council, Cambridge CB3 0ET, England; Open Univ, Milton Keynes MK7 6AA, Bucks, England</t>
  </si>
  <si>
    <t>UK Research &amp; Innovation (UKRI); Natural Environment Research Council (NERC); NERC British Antarctic Survey; Open University - UK</t>
  </si>
  <si>
    <t>Newsham, KK (corresponding author), British Antarctic Survey, Natl Environm Res Council, High Cross,Madingley Rd, Cambridge CB3 0ET, England.</t>
  </si>
  <si>
    <t>kne@bas.ac.uk</t>
  </si>
  <si>
    <t>Newsham, Kevin K/C-4192-2011; Convey, Peter/AAV-5728-2020; Snell, Katherine/B-9085-2015</t>
  </si>
  <si>
    <t>Convey, Peter/0000-0001-8497-9903; Snell, Katherine/0000-0003-3720-4579</t>
  </si>
  <si>
    <t>Natural Environment Research Council [bas010020] Funding Source: researchfish; NERC [bas010020] Funding Source: UKRI</t>
  </si>
  <si>
    <t>10.1007/s00300-007-0269-z</t>
  </si>
  <si>
    <t>WOS:000247971800003</t>
  </si>
  <si>
    <t>Martínez, R</t>
  </si>
  <si>
    <t>Martinez, Rosa</t>
  </si>
  <si>
    <t>Effects of ultraviolet radiation on protein content, respiratory electron transport system (ETS) activity and superoxide dismutase (SOD) activity of Antarctic plankton</t>
  </si>
  <si>
    <t>Antarctic plankton; respiratory ETS; UV radiation effect; superoxide dismutase activity</t>
  </si>
  <si>
    <t>UV-B RADIATION; INDUCED DNA-DAMAGE; POST-ILLUMINATION RESPIRATION; OXIDATIVE STRESS; TEMPERATURE-DEPENDENCE; OXYGEN-CONSUMPTION; CLIMATE-CHANGE; MARINE DIATOM; PHOTOSYNTHESIS; CYANOBACTERIUM</t>
  </si>
  <si>
    <t>Depletion of stratospheric ozone causes a significant increase in UV radiation in the Antarctic regions. Its effects include DNA damage, as well as impairment of photosynthesis, respiration, protein synthesis and other metabolic functions. Defence systems of cells are directed against free oxygen radicals liberated through UV radiation. One of their main components of defence systems are superoxide dismutases (SODs). The effects of ultraviolet radiation A and B (UVAR and UVBR) on protein synthesis, respiratory electron transfer (ETS) activity and superoxide dismutase (SOD) activity in Antarctic plankton were examined. Samples were taken in the Gerlache Strait (Antarctica). Three stations were situated in an area, which showed a Cryptomonas bloom. Two stations were located in areas having a bloom of green nanoflagellates. Samples were exposed for 3 h to photosynthetically active radiation (PAR), or to PAR + UVAR or to PAR + UVAR + UVBR, under fixed experimental irradiances. UVBR inhibited protein synthesis and ETS activity, and enhanced SOD activity. UVAR enhanced protein synthesis and ETS activity, and inhibited SOD activity. Samples, which had received more solar radiation prior to experiments showed less inhibition of protein synthesis by experimental UVBR, which suggests acclimation to ambient radiation. Cryptomonas-dominated stations showed less SOD activity than the green flagellate-dominated stations, which might be related to the protection conferred by their phycoerythrin.</t>
  </si>
  <si>
    <t>Univ Cantabria, Dept Ciencias &amp; Tec Agua, E-39005 Santander, Spain; Univ Tasmania, Sch Aquaculture, Launceston, Tas 7250, Australia</t>
  </si>
  <si>
    <t>Universidad de Cantabria; University of Tasmania</t>
  </si>
  <si>
    <t>Martínez, R (corresponding author), Univ Cantabria, Dept Ciencias &amp; Tec Agua, Los Castros S-N, E-39005 Santander, Spain.</t>
  </si>
  <si>
    <t>martiner@unican.es</t>
  </si>
  <si>
    <t>10.1007/s00300-007-0273-3</t>
  </si>
  <si>
    <t>WOS:000247971800006</t>
  </si>
  <si>
    <t>Borghini, F; Colacevich, A; Bargagli, R</t>
  </si>
  <si>
    <t>Borghini, F.; Colacevich, A.; Bargagli, R.</t>
  </si>
  <si>
    <t>Water geochemistry and sedimentary pigments in northern Victoria Land lakes, Antarctica</t>
  </si>
  <si>
    <t>Antarctic lakes; water geochemistry; superficial sediments; photosynthetic pigments</t>
  </si>
  <si>
    <t>MCMURDO DRY VALLEYS; ENVIRONMENTAL-CHANGE; TERRESTRIAL WATERS; CLIMATE-CHANGE; PHYTOPLANKTON; SNOW; EVOLUTION</t>
  </si>
  <si>
    <t>Total concentrations of algal pigments, organic C, C, N, P and S were determined in surface sediments from the littoral zone of 21 lakes in ice-free areas of northern Victoria Land (Antarctica) with different climatic and environmental conditions. Concentrations of major ions and nutrients were also determined in water samples from the same lakes. The latter samples had extremely variable chemical compositions; however, all the lakes resulted oligotrophic. Pigment concentrations in surface sediments were comparable to those reported for other Antarctic lakes and lower than those in oligotrophic lakes at lower latitudes. Cyanophyta, Chlorophyta and Bacillariophyta were the main taxa identified. These taxa correspond to those reported in previous microscopy-based studies on Antarctic phytoplankton and phytobenthos. Discriminant Function Analysis and Canonical Correspondence Analysis of data indicate that the distribution of pigments in these Victoria Land lakes depends mainly on their geographical location (particularly the distance from the sea) and nutrient status.</t>
  </si>
  <si>
    <t>Univ Siena, Dipartimento Sci Ambientali, I-53100 Siena, Italy</t>
  </si>
  <si>
    <t>University of Siena</t>
  </si>
  <si>
    <t>Borghini, F (corresponding author), Univ Siena, Dipartimento Sci Ambientali, Via PA Matioli 4, I-53100 Siena, Italy.</t>
  </si>
  <si>
    <t>borghini@unisi.it</t>
  </si>
  <si>
    <t>10.1007/s00300-007-0274-2</t>
  </si>
  <si>
    <t>WOS:000247971800007</t>
  </si>
  <si>
    <t>Lee, JE; Slabber, S; van Vuuren, BJ; van Noort, S; Chown, SL</t>
  </si>
  <si>
    <t>Lee, J. E.; Slabber, S.; van Vuuren, B. Jansen; van Noort, S.; Chown, S. L.</t>
  </si>
  <si>
    <t>Colonisation of sub-Antarctic Marion Island by a non-indigenous aphid parasitoid Aphidius matricariae (Hymenoptera, Braconidae)</t>
  </si>
  <si>
    <t>LONG-DISTANCE DISPERSAL; ALIEN VASCULAR PLANTS; IMPACT; INVASION; VEGETATION; DIVERSITY; KERGUELEN; ECOLOGY; SUCCESS; RECORDS</t>
  </si>
  <si>
    <t>Over the past two decades seven non-indigenous vascular plant or arthropod species have established reproducing populations at sub-Antarctic Marion Island (46 degrees 54'S, 37 degrees 55'E). Here we record the eighth establishment, a braconid wasp Aphidius matricariae Haliday, which uses the aphid Rhopalosiphum padi (Linnaeus) as its only host on the island. Molecular markers (18S rDNA and mtCOI) support the conventional taxonomic identification and indicate that all individuals are characterized by a single haplotype. Surveys around the island show that adult abundance and the frequency of aphid parasitism are highest at Macaroni Bay on the east coast, and decline away from this region to low or zero values elsewhere on the coast. The South African research and supply vessel, the SA Agulhas, regularly anchors at Macaroni Bay, and Aphidius sp. have been collected from its galley hold. Current abundance structure, low haplotype diversity, and the operating procedures of the SA Agulhas all suggest that the parasitoid was introduced to the island by humans. Regular surveys indicate that this introduction took place between April 2001 and April 2003, the latter being the first month when this species was detected. The wasp's establishment has significantly added to trophic complexity on the island. Low haplotype diversity suggests that propagule pressure is of little consequence for insect introductions. Rather, single or just a few individuals are probably sufficient for successful establishment.</t>
  </si>
  <si>
    <t>Univ Stellenbosch, Ctr Invest Biol, Dept Bot &amp; Zool, ZA-7602 Matieland, South Africa; Iziko Museum Cape Town, ZA-8000 Cape Town, South Africa</t>
  </si>
  <si>
    <t>Stellenbosch University</t>
  </si>
  <si>
    <t>Chown, SL (corresponding author), Univ Stellenbosch, Ctr Invest Biol, Dept Bot &amp; Zool, Private Bag X1, ZA-7602 Matieland, South Africa.</t>
  </si>
  <si>
    <t>slchown@sun.ac.za</t>
  </si>
  <si>
    <t>Jansen van Vuuren, Bettine/E-6227-2013; Chown, Steven/ABD-7646-2021; Chown, Steven L/H-3347-2011; van Noort, Simon/C-4006-2017</t>
  </si>
  <si>
    <t>Jansen van Vuuren, Bettine/0000-0002-5334-5358; van Noort, Simon/0000-0001-6930-9741</t>
  </si>
  <si>
    <t>10.1007/s00300-007-0277-z</t>
  </si>
  <si>
    <t>WOS:000247971800009</t>
  </si>
  <si>
    <t>Zacher, K; Hanelt, D; Wiencke, C; Wulff, A</t>
  </si>
  <si>
    <t>Zacher, Katharina; Hanelt, Dieter; Wiencke, Christian; Wulff, Angela</t>
  </si>
  <si>
    <t>Grazing and UV radiation effects on an Antarctic intertidal microalgal assemblage: a long-term field study</t>
  </si>
  <si>
    <t>benthic diatoms; diversity; grazing; hard bottom community; microalgae; UV radiation</t>
  </si>
  <si>
    <t>BENTHIC DIATOM MAT; YOUNG SOUND; MICROBENTHIC COMMUNITY; MARINE-SEDIMENTS; SIGNY ISLAND; NE GREENLAND; STREBEL 1908; B RADIATION; BIOMASS; ECOSYSTEM</t>
  </si>
  <si>
    <t>A 15 week field experiment (austral summer Nov-Mar) was carried out in an intertidal hard bottom platform in Antarctica (King George Island). To test whether grazing and ultraviolet radiation (UVR) influenced the succession of a benthic microalgal assemblage, a two-factorial design was used (1) ambient radiation, &gt; 280 nm; (2) ambient minus UV-B, &gt; 320 nm; (3) ambient minus UVR, &gt; 400 nm versus grazer-no grazer). On four sampling occasions microalgae were identified, counted and carbon contents were calculated. The assemblage was dominated by the diatom genera Navicula and Cocconeis. Biomass was generally low in all treatments but was significantly reduced by grazing throughout the experiment. No significant UV effects were found. Grazer absence particularly favoured diatoms of the genus Cocconeis. We conclude that the Antarctic microalgal assemblage was unaffected by present day UVR whereas grazers acted as important drivers on the intertidal microalgal community structure.</t>
  </si>
  <si>
    <t>Alfred Wegener Inst Polar &amp; Marine Res, D-27570 Bremerhaven, Germany; Univ Hamburg, Biozentrum Klein Flottbek, D-22609 Hamburg, Germany; Univ Gothenburg, Dept Marine Ecol, S-40530 Gothenburg, Sweden</t>
  </si>
  <si>
    <t>Helmholtz Association; Alfred Wegener Institute, Helmholtz Centre for Polar &amp; Marine Research; University of Hamburg; University of Gothenburg</t>
  </si>
  <si>
    <t>Zacher, K (corresponding author), Alfred Wegener Inst Polar &amp; Marine Res, Am Handelshafen 12, D-27570 Bremerhaven, Germany.</t>
  </si>
  <si>
    <t>Katharina.Zacher@awi.de</t>
  </si>
  <si>
    <t>Hanelt, Dieter/E-6659-2017</t>
  </si>
  <si>
    <t>233 SPRING STREET, NEW YORK, NY 10013 USA</t>
  </si>
  <si>
    <t>10.1007/s00300-007-0278-y</t>
  </si>
  <si>
    <t>WOS:000247971800010</t>
  </si>
  <si>
    <t>Reid, WDK; Watts, J; Clarke, S; Belchier, M; Thatje, S</t>
  </si>
  <si>
    <t>Reid, William D. K.; Watts, Jamie; Clarke, Sarah; Belchier, Mark; Thatje, Sven</t>
  </si>
  <si>
    <t>Egg development, hatching rhythm and moult patterns in Paralomis spinosissima (Decapoda: Anomura: Paguroidea: Lithodidae) from South Georgia waters (Southern Ocean)</t>
  </si>
  <si>
    <t>Antarctica; crustacea; cold adaptation; stone crab; king crab</t>
  </si>
  <si>
    <t>EARLY JUVENILE DEVELOPMENT; LIFE-HISTORY; KING CRAB; DIFFERENT TEMPERATURES; BEAGLE CHANNEL; GRANULOSA; SANTOLLA; LARVAL; CRUSTACEA; GROWTH</t>
  </si>
  <si>
    <t>Larval release, hatching rhythms and moult patterns were examined in a captive population of the subantarctic lithodid, Paralomis spinosissima from the South Georgia and Shag Rocks region. Larvae hatched throughout the year with the majority of females starting to release larvae at the end of the austral summer and beginning of autumn. Larval release continued over a period of up to 9 weeks with high variability in the numbers that hatched each day. A similar seasonal pattern to hatching was evident in the moulting of females. Intermoult period for two adult females (CL = 63 and 85 mm) ranged from 894 to 1,120 days while an intermoult period for males was estimated to be in excess of 832 days. The results are consistent with other species of Paralomis and are discussed in relation to physiological and environmental adaptations to the cold-water conditions south of the Antarctic Convergence.</t>
  </si>
  <si>
    <t>Univ Southampton, Sch Ocean &amp; Earth Sci, Natl Oceanog Ctr, Cambridge SO14 3ZH, England; British Antarctic Survey, NERC, Div Biol Sci, Cambridge CB3 0ET, England</t>
  </si>
  <si>
    <t>University of Southampton; NERC National Oceanography Centre; UK Research &amp; Innovation (UKRI); Natural Environment Research Council (NERC); NERC British Antarctic Survey</t>
  </si>
  <si>
    <t>Thatje, S (corresponding author), Univ Southampton, Sch Ocean &amp; Earth Sci, Natl Oceanog Ctr, European Way, Cambridge SO14 3ZH, England.</t>
  </si>
  <si>
    <t>svth@noc.soton.ac.uk</t>
  </si>
  <si>
    <t>Reid, William/J-8528-2013</t>
  </si>
  <si>
    <t>Reid, William/0000-0003-0190-0425</t>
  </si>
  <si>
    <t>10.1007/s00300-007-0279-x</t>
  </si>
  <si>
    <t>WOS:000247971800011</t>
  </si>
  <si>
    <t>Rizzello, A; Ciardiello, MA; Acierno, R; Carratore, V; Verri, T; di Prisco, G; Storelli, C; Maffia, M</t>
  </si>
  <si>
    <t>Rizzello, Antonia; Ciardiello, M. Antonietta; Acierno, Raffaele; Carratore, Vito; Verri, Tiziano; di Prisco, Guido; Storelli, Carlo; Maffia, Michele</t>
  </si>
  <si>
    <t>Biochemical characterization of a S-glutathionylated carbonic anhydrase isolated from gills of the Antarctic icefish Chionodraco hamatus</t>
  </si>
  <si>
    <t>PROTEIN JOURNAL</t>
  </si>
  <si>
    <t>gill carbonic anhydrase; Antarctic fish; haemoglobinless Chionodraco hamatus; amino acid sequence; S-glutathionylation</t>
  </si>
  <si>
    <t>METABOLIC COLD ADAPTATION; RED-BLOOD-CELLS; OXYGEN-CONSUMPTION; RAINBOW-TROUT; COMPARATIVE PHYSIOLOGY; PSYCHROPHILIC ENZYMES; CRYSTAL-STRUCTURE; FISH; DEHYDROGENASE; TEMPERATURE</t>
  </si>
  <si>
    <t>Gill cytoplasmic carbonic anhydrase of the haemoglobinless Antarctic icefish Chionodraco hamatus (Ice-CA) was directly sequenced and consists in 259 residues with an acetylated N-terminus. The molecular mass, deduced from the sequence, was 28.45 kDa, while mass spectrometry analysis of the native protein gave higher values. Treatment with dithiothreitol abolished this difference, indicating possible post-translational modifications. Isoelectric focusing analysis of Ice-CA suggested S-thiolation, which was identified as S-glutathionylation by immunostaining. Deglutathionylated Ice-CA maintained the anhydrase activity but showed higher susceptibility to hydrogen peroxide, suggesting that glutathione binding to Cys residues may have a role in the defence against oxidative damage. Ice-CA is characterized by lower thermal stability, higher activity and lower activation energy than its homologue gill CA of the temperate European eel, confirming the adaptation of the catalytic capacity to low temperatures. Alignment of Ice-CA with homologous enzymes from other fish shows high identity; the enzyme is grouped with a previously described fish CA monophyletic clade although Ice-CA shows several characteristics that can increase protein-solvent interaction and structural flexibility.</t>
  </si>
  <si>
    <t>Univ Salento, Dept Biol &amp; Environm Sci &amp; Technol, Lab Gen Physiol, I-73100 Lecce, Italy; CNR, Inst Prot Biochem, I-80125 Naples, Italy</t>
  </si>
  <si>
    <t>University of Salento; Consiglio Nazionale delle Ricerche (CNR); Istituto di Biochimica delle Proteine (IBP-CNR)</t>
  </si>
  <si>
    <t>Maffia, M (corresponding author), Univ Salento, Dept Biol &amp; Environm Sci &amp; Technol, Lab Gen Physiol, Via Monteroni, I-73100 Lecce, Italy.</t>
  </si>
  <si>
    <t>m.maffia@physiology.unile.it</t>
  </si>
  <si>
    <t>Verri, Tiziano/K-1442-2013; MAFFIA, MICHELE/AAC-2943-2020; Ciardiello, Maria Antonietta/AFB-6964-2022</t>
  </si>
  <si>
    <t>Verri, Tiziano/0000-0003-4983-2767; Ciardiello, Maria Antonietta/0000-0002-7203-0554</t>
  </si>
  <si>
    <t>1572-3887</t>
  </si>
  <si>
    <t>1573-4943</t>
  </si>
  <si>
    <t>PROTEIN J</t>
  </si>
  <si>
    <t>Protein J.</t>
  </si>
  <si>
    <t>10.1007/s10930-007-9076-1</t>
  </si>
  <si>
    <t>Biochemistry &amp; Molecular Biology</t>
  </si>
  <si>
    <t>181ZA</t>
  </si>
  <si>
    <t>WOS:000247473700006</t>
  </si>
  <si>
    <t>Cremer, H; Heiri, O; Wagner, B; Wagner-Cremer, F</t>
  </si>
  <si>
    <t>Cremer, Holger; Heiri, Oliver; Wagner, Bernd; Wagner-Cremer, Friederike</t>
  </si>
  <si>
    <t>Abrupt climate warming in East Antarctica during the early Holocene</t>
  </si>
  <si>
    <t>QUATERNARY SCIENCE REVIEWS</t>
  </si>
  <si>
    <t>QUATERNARY DIATOM ASSEMBLAGES; COLD EVENT; AMERY OASIS; LARSEMANN HILLS; LAKE; HISTORY; CALIBRATION; SEDIMENTS; OCEAN</t>
  </si>
  <si>
    <t>We report a centennial-scale warming event between 8600 and 8400 cal BP from Amery Oasis, East Antarctica, that is documented by the geochemical record in a lacustrine sediment sequence. The organic carbon content, the C/S ratio, and the sedimentation rate in this core have distinctly elevated values around 8500 y ago reflecting relatively warm and ice-free conditions that led to well-ventilated conditions in the lake and considerable sedimentation of both autochthonous and allochthonous organic matter on the lake bottom. This abrupt warming event occurred concurrently with reported warm climatic conditions in the Southern Ocean while the climate in central East Antarctic remained cold. The comparison of the spatial and temporal variability of warm climatic periods documented in various terrestrial, marine, and glacial archives from East Antarctica elucidates the uniqueness of the centennial-scale warming event in the Amery Oasis. We also discuss a possible correlation of the Amery warming event with the abrupt climatic deterioration around 8200 cal BP on the Northern Hemisphere. (C) 2007 Elsevier Ltd. All rights reserved.</t>
  </si>
  <si>
    <t>Geol Survey Netherlands, Netherlands Org Appl Sci Res TNO, NL-3584 CB Utrecht, Netherlands; Univ Utrecht, Palaeobot &amp; Palynol Lab, Inst Environm Biol, NL-3584 CD Utrecht, Netherlands; Univ Cologne, Inst Geol &amp; Mineral, D-50674 Cologne, Germany</t>
  </si>
  <si>
    <t>Netherlands Organization Applied Science Research; Utrecht University; University of Cologne</t>
  </si>
  <si>
    <t>Cremer, H (corresponding author), Geol Survey Netherlands, Netherlands Org Appl Sci Res TNO, Princetonlaan 6, NL-3584 CB Utrecht, Netherlands.</t>
  </si>
  <si>
    <t>holger.cremer@tno.nl</t>
  </si>
  <si>
    <t>Heiri, Oliver/A-2403-2008; Heiri, Oliver/JCE-4598-2023; Wagner, Bernd/J-4682-2012; Wagner-Cremer, Friederike/B-4225-2009</t>
  </si>
  <si>
    <t>Heiri, Oliver/0000-0002-3957-5835; Wagner, Bernd/0000-0002-1369-7893; Wagner-Cremer, Friederike/0000-0002-8119-3558</t>
  </si>
  <si>
    <t>0277-3791</t>
  </si>
  <si>
    <t>QUATERNARY SCI REV</t>
  </si>
  <si>
    <t>Quat. Sci. Rev.</t>
  </si>
  <si>
    <t>15-16</t>
  </si>
  <si>
    <t>10.1016/j.quascirev.2006.09.011</t>
  </si>
  <si>
    <t>Geography, Physical; Geosciences, Multidisciplinary</t>
  </si>
  <si>
    <t>Physical Geography; Geology</t>
  </si>
  <si>
    <t>227AG</t>
  </si>
  <si>
    <t>WOS:000250629000010</t>
  </si>
  <si>
    <t>Blagoveshchenskaya, NF; Borisova, TD; Kornienko, VA; Frolov, VL; Rietveld, MT; Brekke, A</t>
  </si>
  <si>
    <t>Blagoveshchenskaya, N. F.; Borisova, T. D.; Kornienko, V. A.; Frolov, V. L.; Rietveld, M. T.; Brekke, A.</t>
  </si>
  <si>
    <t>SOME DISTINCTIVE FEATURES IN THE BEHAVIOR OF SMALL-SCALE ARTIFICIAL IONOSPHERIC IRREGULARITIES AT MID- AND HIGH LATITUDES</t>
  </si>
  <si>
    <t>RADIOPHYSICS AND QUANTUM ELECTRONICS</t>
  </si>
  <si>
    <t>REGION; TROMSO; STRIATIONS; SCATTERING; SHIFT</t>
  </si>
  <si>
    <t>We present the results of experimental studies of some features in the behavior of small-scale artificial irregularities (SSAIs) at mid- and high latitudes based on the Sura and EISCAT/HEATING HF facilities. Observations were performed by the method of aspect scattering using a network of diagnostic paths having a common reception point located near St. Petersburg. We found that an extremely long duration of the second (slow) stage of SSAI relaxation of up to 5 min occurs in the evening hours when the ionosphere above the Sura facility is illuminated by the Sun, but the solar terminator travels through the magnetically conjugated ionosphere. The conjecture is made that the processes initiated by the terminator are mostly responsible for secondary ionospheric turbulence maintaining the irregularities above Sura. A drastic increase in the Doppler spectra width of the scattered signals is revealed when the magnetically conjugate point of the ionosphere is located on the shade side of the terminator, but the ionosphere above the Sura facility is still lighted. It is assumed that the run away of photoelectrons from the day to the night side could reduce the threshold of excitation of artificial irregularities, leading to an increase in their intensity. The presence of fairly intense scattered signals was detected from the Sura and EISCAT/HEATING experimental results both under conditions of pulsed HF heating after continuous heater-on periods and cycled HF heating by short pulses. In the case of pulsed heating by short pulses with duration tau(p) &lt; 100 ms and average radiated power P-a below the threshold power P-thr of the SSAI generation cutoff the irregularities can be maintained due only to striction parametric instabilities. The excitation of irregularites under the cycled HF pumping with the pulse duration tau(p) = 384 ms for P-a comparable with P-thr was detected. The aspect-angle dependence, or the so-called magnetic zenith effect, was found in the SSAI intensity. The residual turbulence aftereffects played a significant role in the SSAI development.</t>
  </si>
  <si>
    <t>[Blagoveshchenskaya, N. F.; Borisova, T. D.; Kornienko, V. A.] Arctic &amp; Antarctic Res Inst, St Petersburg 199226, Russia; [Frolov, V. L.] Radiophys Res Inst, Nizhnii Novgorod, Russia; [Rietveld, M. T.] EISCAT European Assoc, Tromso, Norway; [Brekke, A.] Univ Tromso, Tromso, Norway</t>
  </si>
  <si>
    <t>Arctic &amp; Antarctic Research Institute; Lobachevsky State University of Nizhni Novgorod; UiT The Arctic University of Tromso</t>
  </si>
  <si>
    <t>Blagoveshchenskaya, NF (corresponding author), Arctic &amp; Antarctic Res Inst, St Petersburg 199226, Russia.</t>
  </si>
  <si>
    <t>nataly@aari.nw.ru</t>
  </si>
  <si>
    <t>Borisova, Tatiana/AAK-7698-2020; Blagoveshchenskaya, Nataly/AAE-4093-2022; Blagoveshchenskaya, Nataly F./S-4342-2017; Frolov, Vladimir/AAU-9780-2020</t>
  </si>
  <si>
    <t>Blagoveshchenskaya, Nataly/0000-0003-1752-3273; Blagoveshchenskaya, Nataly F./0000-0003-1752-3273; Borisova, Tatiana/0000-0003-1727-5310</t>
  </si>
  <si>
    <t>Russian Foundation for Basic Researh [07-05-00167, 07-05-13516, 05-02-16493]; INTAS [03-51-5583]</t>
  </si>
  <si>
    <t>Russian Foundation for Basic Researh; INTAS(INTAS)</t>
  </si>
  <si>
    <t>The authors are grateful to the EISCAT European Association for making these experiments possible. This work was supported by the Russian Foundation for Basic Researh (project Nos. 07-05-00167, 07-05-13516 and 05-02-16493) and INTAS (project No. 03-51-5583).</t>
  </si>
  <si>
    <t>0033-8443</t>
  </si>
  <si>
    <t>1573-9120</t>
  </si>
  <si>
    <t>RADIOPHYS QUANT EL+</t>
  </si>
  <si>
    <t>Radiophys. Quantum Electron.</t>
  </si>
  <si>
    <t>10.1007/s11141-007-0054-4</t>
  </si>
  <si>
    <t>Engineering, Electrical &amp; Electronic; Physics, Applied; Physics, Fluids &amp; Plasmas</t>
  </si>
  <si>
    <t>Engineering; Physics</t>
  </si>
  <si>
    <t>V16HS</t>
  </si>
  <si>
    <t>WOS:000207861300003</t>
  </si>
  <si>
    <t>Moltschaniwskyj, N; Jackson, G; Pecl, G; Semmens, J</t>
  </si>
  <si>
    <t>Moltschaniwskyj, Natalie; Jackson, George; Pecl, Gretta; Semmens, Jayson</t>
  </si>
  <si>
    <t>Cephalopod life cycles: Biology, management and conservation - Preface</t>
  </si>
  <si>
    <t>REVIEWS IN FISH BIOLOGY AND FISHERIES</t>
  </si>
  <si>
    <t>Univ Tasmania, Sch Aquaculture, TAFI, Launceston, Tas 7250, Australia; Univ Tasmania, Inst Antarctic &amp; So Ocean Studies, Hobart, Tas 7001, Australia; Univ Tasmania, Marine Res Inst, TAFI, Hobart, Tas, Australia</t>
  </si>
  <si>
    <t>University of Tasmania; University of Tasmania; University of Tasmania</t>
  </si>
  <si>
    <t>Moltschaniwskyj, N (corresponding author), Univ Tasmania, Sch Aquaculture, TAFI, Locked Bag 1370, Launceston, Tas 7250, Australia.</t>
  </si>
  <si>
    <t>natalie.Moltschaniwskyj@utas.edu.au</t>
  </si>
  <si>
    <t>Moltschaniwskyj, Natalie/D-2048-2012; Moltschaniwskyj, Natalie/AAB-7236-2019; Pecl, Gretta/D-7267-2011; Jackson, George D/AAI-7315-2021</t>
  </si>
  <si>
    <t>Pecl, Gretta/0000-0003-0192-4339;</t>
  </si>
  <si>
    <t>0960-3166</t>
  </si>
  <si>
    <t>REV FISH BIOL FISHER</t>
  </si>
  <si>
    <t>Rev. Fish. Biol. Fish.</t>
  </si>
  <si>
    <t>2-3</t>
  </si>
  <si>
    <t>10.1007/s11160-007-9049-7</t>
  </si>
  <si>
    <t>Fisheries; Marine &amp; Freshwater Biology</t>
  </si>
  <si>
    <t>171LL</t>
  </si>
  <si>
    <t>WOS:000246737400001</t>
  </si>
  <si>
    <t>Jackson, GD; Bustamante, P; Cherel, Y; Fulton, EA; Grist, EPM; Jackson, CH; Nichols, PD; Pethybridge, H; Phillips, K; Ward, RD; Xavier, JC</t>
  </si>
  <si>
    <t>Jackson, G. D.; Bustamante, P.; Cherel, Y.; Fulton, E. A.; Grist, E. P. M.; Jackson, C. H.; Nichols, P. D.; Pethybridge, H.; Phillips, K.; Ward, R. D.; Xavier, J. C.</t>
  </si>
  <si>
    <t>Applying new tools to cephalopod trophic dynamics and ecology: perspectives from the Southern Ocean Cephalopod Workshop, February 2-3, 2006</t>
  </si>
  <si>
    <t>Symposium of the Cephalopod-International-Advisory-Council</t>
  </si>
  <si>
    <t>Hobart, AUSTRALIA</t>
  </si>
  <si>
    <t>Southern Ocean cephalopods; trophic indicators; squid population dynamics; genetic barcoding; cephalopod beak identification</t>
  </si>
  <si>
    <t>SQUID MOROTEUTHIS-INGENS; FATTY-ACID-COMPOSITION; STABLE-ISOTOPE RATIOS; STOMACH CONTENTS; DIGESTIVE GLAND; CLASSIFICATION TREES; FORAGING ECOLOGY; OTOLITH MICROCHEMISTRY; METAL CONCENTRATIONS; NORTHEAST ATLANTIC</t>
  </si>
  <si>
    <t>A two day workshop on Southern Ocean cephalopods was held in Hobart, Tasmania, Australia prior to the triennial 2006 Cephalopod International Advisory Council (CIAC) symposium. The workshop provided a second international forum to present the current state of research and new directions since the last Southern Ocean cephalopod meeting held in 1993. A major focus of the workshop was trophic ecology and the use of a variety of tools that can be applied in Southern Ocean trophic studies for both cephalopod and predator researchers. New tools that are being used as trophic indicators and tracers in food chain pathways include stable isotope, heavy metal and fatty acid signature analysis. Progress is also being made on understanding squid population dynamics in relation to other key components of the ecosystem by incorporating squid data in ecosystem models. Genetic barcoding is now of great value to fish taxonomy as well as other groups and it is expected that a cephalopod barcoding initiative will be an important tool for cephalopod taxonomy. There is a current initiative to produce a new cephalopod beak identification guide to assist predator biologists in identifying cephalopod prey items. There were also general discussions on specific taxonomic issues, Southern Ocean Cephalopod paralarvae and parasites, and suggestions for future CIAC workshop topics.</t>
  </si>
  <si>
    <t>Univ Tasmania, Inst Antarctic &amp; So Ocean Studies, Hobart, Tas 7001, Australia; Univ Rochelle, Ctr Rech Ecosyst Littoraux Anthropises, CNRS, IFREMER,UMR 6217, F-17042 La Rochelle, France; CNRS, UPR 1934, Ctr Etud Biol Chize, F-79360 Villiers En Bois, France; CSIRO, Hobart, Tas 7001, Australia; CRC, Hobart, Tas 7001, Australia; British Antarctic Survey, Cambridge CB3 0ET, England; Univ Algarve, Ctr Marine Sci, P-8000139 Faro, Portugal</t>
  </si>
  <si>
    <t>University of Tasmania; Centre National de la Recherche Scientifique (CNRS); Ifremer; Centre National de la Recherche Scientifique (CNRS); Commonwealth Scientific &amp; Industrial Research Organisation (CSIRO); UK Research &amp; Innovation (UKRI); Natural Environment Research Council (NERC); NERC British Antarctic Survey; Universidade do Algarve</t>
  </si>
  <si>
    <t>Jackson, GD (corresponding author), Univ Tasmania, Inst Antarctic &amp; So Ocean Studies, Private Bag 77, Hobart, Tas 7001, Australia.</t>
  </si>
  <si>
    <t>george.jackson@utas.edu.au</t>
  </si>
  <si>
    <t>Bustamante, Paco/G-5833-2011; Fulton, Beth/A-2871-2008; Jackson, George D/AAI-7315-2021; Fulton, Beth/AAJ-1398-2021; Pethybridge, Heidi/AAI-9824-2021; Ward, Robert D/A-2319-2012; 赵, 鹏/B-8401-2009; Xavier, José/KFB-6739-2024; Nichols, Peter D/C-5128-2011; Pethybridge, Heidi/AEO-8594-2022</t>
  </si>
  <si>
    <t>Bustamante, Paco/0000-0003-3877-9390; Fulton, Beth/0000-0002-5904-7917; Pethybridge, Heidi/0000-0002-7291-5766; /0000-0002-9621-6660</t>
  </si>
  <si>
    <t>1573-5184</t>
  </si>
  <si>
    <t>10.1007/s11160-007-9055-9</t>
  </si>
  <si>
    <t>WOS:000246737400002</t>
  </si>
  <si>
    <t>Hibberd, T; Pecl, GT</t>
  </si>
  <si>
    <t>Hibberd, Ty; Pecl, Gretta T.</t>
  </si>
  <si>
    <t>Effects of commercial fishing on the population structure of spawning southern calamary (Sepioteuthis australis)</t>
  </si>
  <si>
    <t>sex ratio; commercial closure; fishing pressure; population structure; squid; spawning aggregation</t>
  </si>
  <si>
    <t>SEXUAL SELECTION; SQUID LOLIGO; VARIABILITY; CEPHALOPODA; FISHERIES</t>
  </si>
  <si>
    <t>This study explored population dynamics of Sepioteuthis australis on a fine temporal scale before, during, and after a 3-month commercial fishing closure on the summer inshore spawning grounds of Great Oyster Bay, Tasmania, Australia. An abrupt change in male size (mantle length) and population sex ratio after the re-opening of the commercial fishery suggests that fishing alters the population structure on the spawning beds from a 'natural' structure which is highly biased towards males, to a more even ratio of males to females. Although jigs are taking a representative sample of the squid population using the spawning beds at any one time, the fishery is apparently still effectively selective for males, potentially as a function of differential spawning movements of the two sexes. Increased fishing pressure over the past 5 years had been correlated with a change towards a highly male-biased sex ratio on the spawning beds; however the current study suggests that increased fishing pressure in recent years may not have reduced the proportion of females. Instead, the inter-annual change in sex ratio may reflect changes in the degree of protection from fishing, with progressively longer closures allowing time for more males to accumulate on the beds and therefore, for the proportion of males to increase (as opposed to a decrease of females). As fishing is selective for males, fishing throughout the spawning season could potentially modify the process of sexual selection and the mating behaviors of the individuals within the spawning population, highlighting the need for closures over this crucial period. Additionally, examinations and comparisons of squid population structure need to be interpreted in light of fishing pressure and broader movement patterns.</t>
  </si>
  <si>
    <t>Univ Tasmania, Tasmanian Aquaculture &amp; Fisheries Inst, Hobart, Tas 7001, Australia; Univ Tasmania, Inst Antarctic &amp; So Ocean Studies, Hobart, Tas 7001, Australia</t>
  </si>
  <si>
    <t>University of Tasmania; University of Tasmania</t>
  </si>
  <si>
    <t>Pecl, GT (corresponding author), Univ Tasmania, Tasmanian Aquaculture &amp; Fisheries Inst, Private Bag 49, Hobart, Tas 7001, Australia.</t>
  </si>
  <si>
    <t>Gretta.Pecl@utas.edu.au</t>
  </si>
  <si>
    <t>Pecl, Gretta/D-7267-2011</t>
  </si>
  <si>
    <t>Pecl, Gretta/0000-0003-0192-4339</t>
  </si>
  <si>
    <t>10.1007/s11160-006-9028-4</t>
  </si>
  <si>
    <t>WOS:000246737400012</t>
  </si>
  <si>
    <t>Strugnell, JM; Lindgren, AR</t>
  </si>
  <si>
    <t>Strugnell, Jan M.; Lindgren, Annie R.</t>
  </si>
  <si>
    <t>A barcode of life database for the Cephalopoda? Considerations and concerns</t>
  </si>
  <si>
    <t>cephalopoda; Barcode of Life Database (BoLD); cytochrome c oxidase subunit I (COI); mitochondrial DNA</t>
  </si>
  <si>
    <t>MITOCHONDRIAL-DNA SEQUENCE; MOLECULAR PHYLOGENY; NUCLEAR INSERTIONS; CANARY-ISLANDS; EVOLUTION; MOLLUSCA; GENUS; SQUIDS; OMMASTREPHIDAE; COLONIZATION</t>
  </si>
  <si>
    <t>The concept of a Barcode of Life Database (BoLD) for the Class Cephalopoda (Phylum Mollusca) was introduced at the Cephalopod International Advisory Council (CIAC) symposium in Hobart, Australia, February 2006. This suggestion was met with significant interest, concern and debate. This review attempts to describe the concept of the BoLD initiative and to outline considerations and concerns specific to a cephalopod BoLD.</t>
  </si>
  <si>
    <t>Queens Univ Belfast, Sch Biol &amp; Biochem, Belfast BT9 7BL, Antrim, North Ireland; British Antarctic Survey, Cambridge CB3 0ET, England; Ohio State Univ, Museum Biol Divers, Columbus, OH 43212 USA</t>
  </si>
  <si>
    <t>Queens University Belfast; UK Research &amp; Innovation (UKRI); Natural Environment Research Council (NERC); NERC British Antarctic Survey; University System of Ohio; Ohio State University</t>
  </si>
  <si>
    <t>Strugnell, JM (corresponding author), Queens Univ Belfast, Sch Biol &amp; Biochem, 97 Lisburn Rd, Belfast BT9 7BL, Antrim, North Ireland.</t>
  </si>
  <si>
    <t>j.strugnell@qub.ac.uk; lindgren.11@osu.edu</t>
  </si>
  <si>
    <t>Strugnell, Jan M/P-9921-2016; Strugnell, Jan/B-1698-2010</t>
  </si>
  <si>
    <t>Strugnell, Jan/0000-0003-2994-637X</t>
  </si>
  <si>
    <t>10.1007/s11160-007-9043-0</t>
  </si>
  <si>
    <t>WOS:000246737400021</t>
  </si>
  <si>
    <t>Grist, EPM; Jackson, GD</t>
  </si>
  <si>
    <t>Grist, Eric P. M.; Jackson, George D.</t>
  </si>
  <si>
    <t>How long would it take to become a giant squid?</t>
  </si>
  <si>
    <t>feeding and metabolic rates; simple two phase growth model; energy balance; architeuthis; giant squid; cephalopod growth; growth models</t>
  </si>
  <si>
    <t>GROWTH; CEPHALOPODA; LIFE; AGE; STATOLITH; MICROSTRUCTURE; PARALARVAE; METABOLISM; GONATIDAE</t>
  </si>
  <si>
    <t>Laboratory and field studies suggest that cephalopod growth occurs rapidly and is linked to temperature throughout a short life span. For giant squid such as Architeuthis, a paucity of size-at-age data means that growth is only inferred from isolated field specimens, based on either statoliths or isotopic analyses of tissue. In this study we apply simple growth models to obtain projections of the life span required to achieve the Architeuthis average body mass in scenarios which include an energy balance between rates of food intake and expenditure on growth and metabolism. Although the analysis shows that a wide range for the estimated life span is possible, energy conservation suggests that achievement of a larger size would be assisted by slower exponential growth early on. The results are compared with a sparse set of size-at-age data obtained from male and female Architeuthis wild specimens and possibly hint at some behavioural differences between males and females.</t>
  </si>
  <si>
    <t>CSIRO, Hobart, Tas, Australia; Univ Tasmania, Inst Antarctic &amp; So Ocean Studies, Hobart, Tas 7001, Australia</t>
  </si>
  <si>
    <t>Commonwealth Scientific &amp; Industrial Research Organisation (CSIRO); University of Tasmania</t>
  </si>
  <si>
    <t>Grist, EPM (corresponding author), CSIRO, GPO Box 1538, Hobart, Tas, Australia.</t>
  </si>
  <si>
    <t>eric.grist@csiro.au</t>
  </si>
  <si>
    <t>Jackson, George D/AAI-7315-2021</t>
  </si>
  <si>
    <t>10.1007/s11160-007-9046-x</t>
  </si>
  <si>
    <t>WOS:000246737400025</t>
  </si>
  <si>
    <t>Semmens, JM; Pecl, GT; Gillanders, BM; Waluda, CM; Shea, EK; Jouffre, D; Ichii, T; Zumholz, K; Katugin, ON; Leporati, SC; Shaw, PW</t>
  </si>
  <si>
    <t>Semmens, Jayson M.; Pecl, Gretta T.; Gillanders, Bronwyn M.; Waluda, Claire M.; Shea, Elizabeth K.; Jouffre, Didier; Ichii, Taro; Zumholz, Karsten; Katugin, Oleg N.; Leporati, Stephen C.; Shaw, Paul W.</t>
  </si>
  <si>
    <t>Approaches to resolving cephalopod movement and migration patterns</t>
  </si>
  <si>
    <t>cephalopods; movement; migration; environmental variability</t>
  </si>
  <si>
    <t>ILLEX-ARGENTINUS CEPHALOPODA; JAPANESE COMMON SQUID; LOLIGO-VULGARIS-REYNAUDII; CALAMARY SEPIOTEUTHIS-AUSTRALIS; TODARODES-PACIFICUS CEPHALOPODA; SENSED MESOSCALE OCEANOGRAPHY; SEPIA-OFFICINALIS MOLLUSCA; GULF-OF-CALIFORNIA; NEON FLYING SQUID; OCTOPUS-VULGARIS</t>
  </si>
  <si>
    <t>Cephalopod movement occurs during all phases of the life history, with the abundance and location of cephalopod populations strongly influenced by the prevalence and scale of their movements. Environmental parameters, such as sea temperature and oceanographic processes, have a large influence on movement at the various life cycle stages, particularly those of oceanic squid. Tag recapture studies are the most common way of directly examining cephalopod movement, particularly in species which are heavily fished. Electronic tags, however, are being more commonly used to track cephalopods, providing detailed small- and large-scale movement information. Chemical tagging of paralarvae through maternal transfer may prove to be a viable technique for tracking this little understood cephalopod life stage, as large numbers of individuals could be tagged at once. Numerous indirect methods can also be used to examine cephalopod movement, such as chemical analyses of the elemental and/or isotopic signatures of cephalopod hard parts, with growing interest in utilising these techniques for elucidating migration pathways, as is commonly done for fish. Geographic differences in parasite fauna have also been used to indirectly provide movement information, however, explicit movement studies require detailed information on parasite-host specificity and parasite geographic distribution, which is yet to be determined for cephalopods. Molecular genetics offers a powerful approach to estimating realised effective migration rates among populations, and continuing developments in markers and analytical techniques hold the promise of more detailed identification of migrants. To date genetic studies indicate that migration in squids is extensive but can be blocked by major oceanographic features, and in cuttlefish and octopus migration is more locally restricted than predictions from life history parameters would suggest. Satellite data showing the location of fishing lights have been increasingly used to examine the movement of squid fishing vessels, as a proxy for monitoring the movement of the squid populations themselves, allowing for the remote monitoring of oceanic species.</t>
  </si>
  <si>
    <t>Univ Tasmania, Tasmanian Aquaculture &amp; Fisheries Inst, Marine Fisheries Labs, Hobart, Tas 7001, Australia; Univ Adelaide, Sch Earth &amp; Environm Sci, So Seas Ecol Labs, Adelaide, SA 5005, Australia; British Antarctic Survey, Div Biol Sci, Cambridge CB3 0ET, England; Delware Museum Nat Hist, Wilmington, DE USA; IRD, Unite OSIRIS, Dakar, Senegal; Natl Res Inst Far Seas Fisheries, Yokohama, Kanagawa 2368648, Japan; GEOMAR, IFM, Leibniz Inst Marine Sci, D-24105 Kiel, Germany; Pacific Fisheries Res Ctr, Vladivostok 690950, Russia; Univ London Royal Holloway &amp; Bedford New Coll, Sch Biol Sci, Egham TW20 0EX, Surrey, England</t>
  </si>
  <si>
    <t>University of Tasmania; University of Adelaide; UK Research &amp; Innovation (UKRI); Natural Environment Research Council (NERC); NERC British Antarctic Survey; Institut de Recherche pour le Developpement (IRD); Japan Fisheries Research &amp; Education Agency (FRA); Helmholtz Association; GEOMAR Helmholtz Center for Ocean Research Kiel; Research lnstitute of Fisheries &amp; Oceanography; University of London; Royal Holloway University London</t>
  </si>
  <si>
    <t>Semmens, JM (corresponding author), Univ Tasmania, Tasmanian Aquaculture &amp; Fisheries Inst, Marine Fisheries Labs, Private Bag 49, Hobart, Tas 7001, Australia.</t>
  </si>
  <si>
    <t>Jayson.semmens@utas.edu.au</t>
  </si>
  <si>
    <t>Pecl, Gretta/D-7267-2011; Gillanders, Bronwyn/B-4218-2013</t>
  </si>
  <si>
    <t>Pecl, Gretta/0000-0003-0192-4339; Shaw, Paul/0000-0003-2637-6332; Shea, Elizabeth/0000-0002-5379-8410; Gillanders, Bronwyn/0000-0002-7680-2240; Semmens, Jayson/0000-0003-1742-6692</t>
  </si>
  <si>
    <t>10.1007/s11160-007-9048-8</t>
  </si>
  <si>
    <t>WOS:000246737400026</t>
  </si>
  <si>
    <t>O'Shea, S; Jackson, G; Bolstad, KS</t>
  </si>
  <si>
    <t>O'Shea, S.; Jackson, G.; Bolstad, K. S.</t>
  </si>
  <si>
    <t>The nomenclatural status, ontogeny and morphology of Pholidoteuthis massyae (Pfeffer, 1912) new comb (Cephalopoda: Pholidoteuthidae)</t>
  </si>
  <si>
    <t>Pholidoteuthis; Tetronychoteuthis; cephalopoda; systematics; reproduction</t>
  </si>
  <si>
    <t>LEPIDOTEUTHIS; SYSTEMATICS</t>
  </si>
  <si>
    <t>Pholidoteuthis is unusual amongst genera of squid in that the mantle is beset with close-packed dermal cushions (scales). Despite frequent reference to species in this genus, considerable systematic confusion surrounds usage of the generic name, erected prematurely given that the same systematic characters apply for the earlier Tetronychoteuthis Pfeffer, 1900, and species attributed to it. The synonymy and ontogenetic morphology of Pholidoteuthis massyae (Pfeffer 1912) new comb., the senior synonym of P. boschmai Adam, 1950, is reported. The relationship between this species and others referred to Tetronychoteuthis, Lepidoteuthis, the Pholidoteuthidae Adam, 1950, Lepidoteuthidae Pfeffer, 1912 and Octopoteuthidae Berry, 1912, is discussed. A conjectural account of the mechanics of mating in P. massyae is provided based on the nature of spermatophore insertion in the female mantle, and modification to the terminal region of the male's genital apparatus.</t>
  </si>
  <si>
    <t>Auckland Univ Technol, Earth &amp; Ocean Sci Res Inst, Auckland 1020, New Zealand; Univ Tasmania, Inst Antarctic &amp; So Ocean Studies, Hobart, Tas 7001, Australia</t>
  </si>
  <si>
    <t>Auckland University of Technology; University of Tasmania</t>
  </si>
  <si>
    <t>O'Shea, S (corresponding author), Auckland Univ Technol, Earth &amp; Ocean Sci Res Inst, Private Bag 92006, Auckland 1020, New Zealand.</t>
  </si>
  <si>
    <t>steve.oshea@aut.ac.nz; k.bolstad@aut.ac.nz; george.jackson@utas.edu.au</t>
  </si>
  <si>
    <t>O'Shea, Steve/0000-0001-8101-4399</t>
  </si>
  <si>
    <t>10.1007/s11160-007-9047-9</t>
  </si>
  <si>
    <t>WOS:000246737400027</t>
  </si>
  <si>
    <t>Xu, ZK; Li, AC; Jiang, FQ; Li, TG; Meng, QY; Jin, N</t>
  </si>
  <si>
    <t>Xu ZhaoKai; Li AnChun; Jiang FuQing; Li TieGang; Meng QingYong; Jin Ning</t>
  </si>
  <si>
    <t>Paleoenvironment evolution of the East Philippine Sea recorded in the new-type ferromanganese crust since the terminal Late Miocene</t>
  </si>
  <si>
    <t>SCIENCE IN CHINA SERIES D-EARTH SCIENCES</t>
  </si>
  <si>
    <t>new-type ferromanganese crust record; paleoenvironment evolution; uranium-series dating; Be-10 isotope dating; east Philippine sea</t>
  </si>
  <si>
    <t>SOUTH CHINA SEA; PACIFIC-OCEAN; NORTH PACIFIC; DEEP-WATER; WESTERN PACIFIC; STRATIFICATION; HISTORY; EVENTS; PANAMA; ONSET</t>
  </si>
  <si>
    <t>From systemic research of microstructure, geochemistry, uranium-series and Be-10 isotope dating on a new-type deepwater ferromanganese crust from the East Philippine Sea, the paleoenvironment evolution of the target area since the terminal Late Miocene was recovered. The vertical section changes of microstructure and chemical composition are consistent in the studied crust, which indicate three major accretion periods and corresponding paleoenvironment evolution of the crust. The bottom crust zone was formed in the terminal Late Miocene (5.6 Ma) with loose microstructure, high detritus content and high growth rate. Reductions of mineral element content, accretion rate and positive Ce-anomaly degree at 4.6 Ma indicate temporal warming, which went against the crust accretion and finally formed an accretion gap in the terminal Middle Pliocene (2.8-2.7 Ma). The more active Antarctic bottom seawaters in the Late Pliocene (2.7 Ma) facilitated the fast transfer to the top pure crust zone. Hereafter, with the further apart of volcanic source and the keeping increase of eolian material (1.0 Ma), although surrounding conditions were still favorable, mineral element content still shows an obvious reducing trend. It thereby offers new carrier and data for the unclear paleoceanographic research of the target area since the terminal Late Miocene.</t>
  </si>
  <si>
    <t>Chinese Acad Sci, Inst Oceanol, Key Lab Marine Geol &amp; Environm, Qingdao 266071, Peoples R China; Grad Univ, Chinese Acad Sci, Beijing 100039, Peoples R China</t>
  </si>
  <si>
    <t>Chinese Academy of Sciences; Institute of Oceanology, CAS; Chinese Academy of Sciences; University of Chinese Academy of Sciences, CAS</t>
  </si>
  <si>
    <t>Li, AC (corresponding author), Chinese Acad Sci, Inst Oceanol, Key Lab Marine Geol &amp; Environm, Qingdao 266071, Peoples R China.</t>
  </si>
  <si>
    <t>acli@ms.qdio.ac.cn</t>
  </si>
  <si>
    <t>SCIENCE PRESS</t>
  </si>
  <si>
    <t>BEIJING</t>
  </si>
  <si>
    <t>16 DONGHUANGCHENGGEN NORTH ST, BEIJING 100717, PEOPLES R CHINA</t>
  </si>
  <si>
    <t>1006-9313</t>
  </si>
  <si>
    <t>SCI CHINA SER D</t>
  </si>
  <si>
    <t>Sci. China Ser. D-Earth Sci.</t>
  </si>
  <si>
    <t>10.1007/s11430-007-0054-4</t>
  </si>
  <si>
    <t>189GU</t>
  </si>
  <si>
    <t>WOS:000247978200007</t>
  </si>
  <si>
    <t>Fan, K</t>
  </si>
  <si>
    <t>Fan Ke</t>
  </si>
  <si>
    <t>North Pacific sea ice cover, a predictor for the Western North Pacific typhoon frequency?</t>
  </si>
  <si>
    <t>typhoon; sea ice cover; north Pacific; teleconnection</t>
  </si>
  <si>
    <t>TROPICAL CYCLONE ACTIVITY; QUASI-BIENNIAL OSCILLATION; EL-NINO; ANTARCTIC OSCILLATION; CHINA; PRECIPITATION; EVENTS; ENSO</t>
  </si>
  <si>
    <t>The relationship between the sea ice cover in the North Pacific and the typhoon frequency has been studied in this paper. It follows that the index for the sea ice cover in the North Pacific (ISA) both in December-January-February (DJF) and in March-April-May (MAM) is negatively correlated with annual typhoon number over the western North Pacific (TNWNP) during 1965-2004, with correlation coefficients of -0.42 and -0.49 respectively (above 99% significant level). Large sea ice cover in the North Pacific tends to decrease TNWNP. Positive ISA (MAM) is associated with the tropical circulation and SST anomalies in the North Pacific, which may lead to unfavorable dynamic and thermal conditions for typhoon genesis over WNP from June to October (JJASO). The variability of the atmospheric circulation over the North Pacific, associated with the ISA anomaly in MAM is connected to the tropical atmospheric circulation variability in MAM via the teleconnection wave train. Besides, as the tropical circulation has strong seasonal persistency from the MAM to JJASO, thus, the ISA in MAM-related variability of the tropical atmospheric circulation as well as the SST can affect the typhoon activity over the western North Pacific.</t>
  </si>
  <si>
    <t>Chinese Acad Sci, Inst Atmospher Phys, Beijing 100029, Peoples R China; Yunnan Univ, Dept Atmospher Sci, Kunming 650091, Peoples R China</t>
  </si>
  <si>
    <t>Chinese Academy of Sciences; Institute of Atmospheric Physics, CAS; Yunnan University</t>
  </si>
  <si>
    <t>Fan, K (corresponding author), Chinese Acad Sci, Inst Atmospher Phys, Beijing 100029, Peoples R China.</t>
  </si>
  <si>
    <t>fanke@mail.iap.ac.cn</t>
  </si>
  <si>
    <t>Fan, K/GXH-3734-2022; Fan, Ke/AAJ-2315-2020</t>
  </si>
  <si>
    <t>10.1007/s11430-007-0076-y</t>
  </si>
  <si>
    <t>WOS:000247978200015</t>
  </si>
  <si>
    <t>Pyne, SJ</t>
  </si>
  <si>
    <t>Pyne, Stephen J.</t>
  </si>
  <si>
    <t>The extraterrestrial Earth: Antarctica as analogue for space exploration</t>
  </si>
  <si>
    <t>SPACE POLICY</t>
  </si>
  <si>
    <t>The polar regions have often been suggested as surrogates for the exploration and colonization of space. in particular, Antarctica's greater isolation makes it a useful analogue. Its features-abiotic, acultural, alien to human habitation-all echo the regions of interest to contemporary exploration, notably the solar system and the deep oceans. But more than a century of Antarctic experience also suggests that exploration will likely resemble the Renaissance's Great Voyages and their outposts rather than become portals for wholesale colonization. These sites will traffic mostly in information-the spices and luxury goods of interest to their sustaining societies. (C) 2007 Elsevier Ltd. All rights reserved.</t>
  </si>
  <si>
    <t>Arizona State Univ, Sch Life Sci, Tempe, AZ 85306 USA</t>
  </si>
  <si>
    <t>Arizona State University; Arizona State University-Tempe</t>
  </si>
  <si>
    <t>Pyne, SJ (corresponding author), Arizona State Univ, Sch Life Sci, POB 874701, Tempe, AZ 85306 USA.</t>
  </si>
  <si>
    <t>stephen.pyne@asu.edu</t>
  </si>
  <si>
    <t>ELSEVIER SCI LTD</t>
  </si>
  <si>
    <t>THE BOULEVARD, LANGFORD LANE, KIDLINGTON, OXFORD OX5 1GB, OXON, ENGLAND</t>
  </si>
  <si>
    <t>0265-9646</t>
  </si>
  <si>
    <t>Space Policy</t>
  </si>
  <si>
    <t>10.1016/j.spacepol.2007.06.006</t>
  </si>
  <si>
    <t>International Relations; Social Sciences, Interdisciplinary</t>
  </si>
  <si>
    <t>Social Science Citation Index (SSCI)</t>
  </si>
  <si>
    <t>International Relations; Social Sciences - Other Topics</t>
  </si>
  <si>
    <t>213XS</t>
  </si>
  <si>
    <t>WOS:000249701200004</t>
  </si>
  <si>
    <t>Jonsell, U; Hansson, ME; Siggaard-Andersen, ML; Steffensen, JP</t>
  </si>
  <si>
    <t>Jonsell, Ulf; Hansson, Margareta E.; Siggaard-Andersen, Marie-Louise; Steffensen, Jorgen-Peder</t>
  </si>
  <si>
    <t>Comparison of northern and central Greenland ice core records of methanesulfonate covering the last glacial period</t>
  </si>
  <si>
    <t>DOME-C; OXYGEN-ISOTOPE; CLIMATIC CYCLE; CAMP CENTURY; PROJECT; DUST; SHEET; GRIP; SURFACE; SULFUR</t>
  </si>
  <si>
    <t>[1] Methanesulfonate (MS-) is measured in ice cores with the objective to obtain a proxy record of marine phytoplankton production of dimethylsulfide (DMS). We present a continuous MS- record covering the last glacial period from the North Greenland Ice Core Project (NGRIP) ice core and compare this record with the corresponding records previously presented from Greenland and, in particular, with the GISP2 ice core located 320 km south of NGRIP. Despite that the records have similar mean concentrations, their responses to climatic changes during the last glacial period are slightly different. NGRIP MS- concentrations were higher during the cold marine isotopic stages (MIS) 2 and 4 and lower during the warm MIS 5. This long-term trend in MS-, which is similar to the inverse of the corresponding trend in delta O-18, is not detected in the GISP2 MS- record. A systematic response in MS- concentrations to changes between Greenland stadials and interstadials is only detected in the GISP2 record. The different responses of the MS- signals to climate change during the last glacial period are possibly related to the partitioning of air masses reaching the two sites. In contrast to observations from Antarctic records, dust concentrations do not affect the MS- concentrations in the ice, whereas the deposition of sulfate probably is enhanced by high dust concentrations in the atmosphere. The MS- signal has a higher potential of being a proxy record of DMS production changes in Greenlandic compared to Antarctic ice cores.</t>
  </si>
  <si>
    <t>Stockholm Univ, S-10691 Stockholm, Sweden; Univ Copenhagen, Niels Bohr Inst, DK-1168 Copenhagen, Denmark</t>
  </si>
  <si>
    <t>Stockholm University; University of Copenhagen; Niels Bohr Institute</t>
  </si>
  <si>
    <t>Jonsell, U (corresponding author), Stockholm Univ, S-10691 Stockholm, Sweden.</t>
  </si>
  <si>
    <t>ulfj@natgeo.su.se</t>
  </si>
  <si>
    <t>Jonsell, Ulf/F-3116-2015; Steffensen, Jorgen Peder/JFS-7831-2023</t>
  </si>
  <si>
    <t>Jonsell, Ulf/0000-0001-6532-8590; Steffensen, Jorgen Peder/0000-0002-5516-1093</t>
  </si>
  <si>
    <t>JUL 31</t>
  </si>
  <si>
    <t>D14</t>
  </si>
  <si>
    <t>D14313</t>
  </si>
  <si>
    <t>10.1029/2006JD007451</t>
  </si>
  <si>
    <t>198AM</t>
  </si>
  <si>
    <t>WOS:000248599400001</t>
  </si>
  <si>
    <t>Vieli, A; Payne, AJ; Shepherd, A; Du, Z</t>
  </si>
  <si>
    <t>Vieli, A.; Payne, A. J.; Shepherd, A.; Du, Z.</t>
  </si>
  <si>
    <t>Causes of pre-collapse changes of the Larsen B ice shelf: Numerical modelling and assimilation of satellite observations</t>
  </si>
  <si>
    <t>glaciology; Larsen ice shelf; Antarctica; numerical modelling; data assimilation; InSAR</t>
  </si>
  <si>
    <t>PINE ISLAND GLACIER; ANTARCTIC PENINSULA; STREAM-B; ACCELERATION; RETREAT; SHEET; FLOW</t>
  </si>
  <si>
    <t>Satellite observations revealed that beside a rapid thinning, the Larsen B ice shelf (LBIS) was undergoing a significant acceleration before its collapse in 2002. This paper investigates the ice shelf acceleration between 1995 and 1999 using a combination of data assimilation and numerical modelling. Based on a flow model adjusted to the 1995 InSAR velocities, perturbation experiments are performed, such as ice front retreat, thinning, increase in tributary flow and theological weakening. Furthermore, an inversion for ice shelf rheology and tributary flow velocity is performed for both the 1995 and the 1999 InSAR velocities. The perturbation experiments together with the inversion strongly suggest that the acceleration cannot solely be explained by the retreat of the ice shelf front but relies on a further significant theological weakening of the already weak shear zones within the LBIS. Minor tributary acceleration is found to be an effect rather than a cause of the ice shelf acceleration. Furthermore, the observed acceleration cannot be explained by the observed recent thinning. We conclude that for smaller ice shelves such as the LBIS, such weak shear margins play a crucial role in controlling their dynamics and are the key to understand changes in the future. Finally, we compare the dynamic thinning likely to be associated with the observed acceleration with the observed thinning. For the ice shelf as a whole, this thinning accounts for 20% of the observed value, which implies that factors such as enhanced basal melt were the primary cause of the observed thinning. (c) 2007 Elsevier B.V. All rights reserved.</t>
  </si>
  <si>
    <t>Univ Durham, Sci Labs, Dept Geog, Durham DH1 3LE, England; Univ Bristol, Sch Geog Sci, Ctr Polar Observ &amp; Modelling, Bristol, Avon, England; Univ Cambridge, Scott Polar Res Inst, Ctr Polar Observ &amp; Modelling, Cambridge, England</t>
  </si>
  <si>
    <t>Durham University; University of Bristol; University of Cambridge</t>
  </si>
  <si>
    <t>Vieli, A (corresponding author), Univ Durham, Sci Labs, Dept Geog, South Rd, Durham DH1 3LE, England.</t>
  </si>
  <si>
    <t>andreas.vieli@durham.ac.uk</t>
  </si>
  <si>
    <t>Vieli, Andreas/A-6767-2011; payne, antony/A-8916-2008</t>
  </si>
  <si>
    <t>Shepherd, Andrew/0000-0002-4914-1299; payne, antony/0000-0001-8825-8425</t>
  </si>
  <si>
    <t>NERC [cpom10001] Funding Source: UKRI; Natural Environment Research Council [cpom10001, NER/A/S/2003/00307] Funding Source: researchfish</t>
  </si>
  <si>
    <t>JUL 30</t>
  </si>
  <si>
    <t>10.1016/j.epsl.2007.04.050</t>
  </si>
  <si>
    <t>197DX</t>
  </si>
  <si>
    <t>WOS:000248535300006</t>
  </si>
  <si>
    <t>Swanger, KM; Marchant, DR</t>
  </si>
  <si>
    <t>Swanger, Kate M.; Marchant, David R.</t>
  </si>
  <si>
    <t>Sensitivity of lee-cemented Antarctic soils to greenhouse-induced thawing: Are terrestrial archives at risk?</t>
  </si>
  <si>
    <t>planar sliding; permafrost; McMurdo Dry Valleys; thermal modeling; slope stability; climate change</t>
  </si>
  <si>
    <t>SOUTHERN VICTORIA LAND; DRY VALLEYS REGION; BEACON VALLEY; TRANSANTARCTIC MOUNTAINS; EXPOSURE AGES; COSMOGENIC HE-3; ROSS EMBAYMENT; TAYLOR GLACIER; ICE-SHEET; PALEOCLIMATE</t>
  </si>
  <si>
    <t>We modeled the sensitivity of six ice-cemented slope deposits from the western McMurdo Dry Valleys, Antarctica to failure by shallow, thaw-induced planar sliding. The deposits examined have purportedly remained physically stable, without morphologic evidence for downslope movement, for millions of years. Could they fail in the near future from greenhouse-induced warming? To address this question, we first prescribed various increases in mean summertime soil surface temperature (MSSST) and modeled numerically the resultant changes in soil thaw depths using a one-dimensional heat diffusion equation (including the effects of latent heat of fusion). Second, we calculated the minimum thaw depths required to facilitate failure by shallow planar sliding for each deposit, for all numerical simulations, we maintained present soil-moisture conditions and used a Mohr-Coulomb-based equation of safety factor. Third, we calculated the rate of subsurface meltwater flow assuming Darcy's Law. Our results show that although most deposits contain sufficient subsurface ice to induce sliding upon thawing, lateral rates of water flow of as much as similar to 40 m/day for some colluvial deposits prohibit the build-up of requisite pore pressures for failure. On the other hand, silty deposits, that contain gravimetric water &gt;= 15%, occur on slopes &gt; 20 degrees, and possess low hydraulic conductivities (similar to 30-60 cm/day), common in the Dry Valleys region, could fail if MSSST, and by inference mean summertime atmospheric temperatures, increase by 4 to 9 degrees C. This temperature increase is similar to that predicted to occur from greenhouse-induced wart-ning in Antarctica over the next century. (c) 2007 Elsevier B.V. All rights reserved.</t>
  </si>
  <si>
    <t>Boston Univ, Dept Earth Sci, Boston, MA 02215 USA</t>
  </si>
  <si>
    <t>Boston University</t>
  </si>
  <si>
    <t>Swanger, KM (corresponding author), Boston Univ, Dept Earth Sci, 685 Commonwealth Ave, Boston, MA 02215 USA.</t>
  </si>
  <si>
    <t>kswanger@bu.edu</t>
  </si>
  <si>
    <t>10.1016/j.epsl.2007.04.046</t>
  </si>
  <si>
    <t>WOS:000248535300010</t>
  </si>
  <si>
    <t>Lamy, F; Kaiser, J; Arz, HW; Hebbeln, D; Ninnemann, U; Timm, O; Timmermann, A; Toggweiler, JR</t>
  </si>
  <si>
    <t>Lamy, Frank; Kaiser, Jerome; Arz, Helge W.; Hebbeln, Dierk; Ninnemann, Ulysses; Timm, Oliver; Timmermann, Axel; Toggweiler, J. R.</t>
  </si>
  <si>
    <t>Modulation of the bipolar seesaw in the southeast pacific during Termination 1</t>
  </si>
  <si>
    <t>paleooceanography; Termination 1; Southeast Pacific; bipolar seesaw; alkenones</t>
  </si>
  <si>
    <t>LAST DEGLACIATION; THERMOHALINE CIRCULATION; NORTHERN-HEMISPHERE; GLACIAL CLIMATE; MARINE RECORD; CARBON-CYCLE; ICE CORE; VARIABILITY; CALIBRATION; ANTARCTICA</t>
  </si>
  <si>
    <t>The termination of the last ice age (Termination 1; T I) is crucial for our understanding of global climate change and for the validation of climate models. There are still a number of open questions regarding for example the exact timing and the mechanisms involved in the initiation of deglaciation and the subsequent interhemispheric pattern of the warming. Our study is based on a well-dated and high-resolution alkenone-based sea surface temperature (SST) record from the SE-Pacific off southern Chile (Ocean Drilling Project Site 1233) showing that deglacial warming at the northern margin of the Antarctic Circumpolar Current system (ACC) began shortly after 19,000 years BP (19 kyr BP). The timing is largely consistent with Antarctic ice-core records but the initial warming in the SE-Pacific is more abrupt suggesting a direct and immediate response to the slowdown of the Atlantic thermohaline circulation through the bipolar seesaw mechanism. This response requires a rapid transfer of the Atlantic signal to the SE-Pacific without involving the thermal inertia of the Southern Ocean that may contribute to the substantially more gradual deglacial temperature rise seen in Antarctic ice-cores. A very plausible mechanism for this rapid transfer is a seesaw-induced change of the coupled ocean-atmosphere system of the ACC and the southern westerly wind belt. In addition, modelling results suggest that insolation changes and the deglacial CO2 rise induced a substantial SST increase at our site location but with a gradual warming structure. The similarity of the two-step rise in our proxy SSTs and CO2 over T I strongly demands for a forcing mechanism influencing both, temperature and CO2. As SSTs at our coring site are particularly sensitive to latitudinal shifts of the ACC/southern westerly wind belt system, we conclude that such latitudinal shifts may substantially affect the upwelling of deepwater masses in the Southern Ocean and thus the release Of CO2 to the atmosphere as suggested by the conceptual model of [Toggweiler, JR., Rusell, J.L., Carson, S.R., 2006. Midlatitude westerlies, atmospheric CO2, and climate change during ice ages. Paleoceanography 21. doi: 10. 1029/2005PA001154]. (c) 2007 Elsevier B.V.. All rights reserved.</t>
  </si>
  <si>
    <t>Afred Wegener Inst Polar &amp; Marine Res, D-27568 Bremerhaven, Germany; GeoForschungsZentrum Potsdam, D-14473 Potsdam, Germany; Univ Bremen, MARUM Ctr Marine Environm Sci, D-28359 Bremen, Germany; Univ Bergen, Bjerknes Ctr Climate Res, N-5007 Bergen, Norway; Univ Hawaii Manoa, SOEST, IPRC, Honolulu, HI 96822 USA; Natl Ocean &amp; Atmospher Adm, Geophys Fluid Dynam Lab, Princeton, NJ 08542 USA</t>
  </si>
  <si>
    <t>Helmholtz Association; Helmholtz-Center Potsdam GFZ German Research Center for Geosciences; University of Bremen; University of Bergen; Bjerknes Centre for Climate Research; University of Hawaii System; University of Hawaii Manoa; National Oceanic Atmospheric Admin (NOAA) - USA</t>
  </si>
  <si>
    <t>Lamy, F (corresponding author), Afred Wegener Inst Polar &amp; Marine Res, Am Alten Hafen 26, D-27568 Bremerhaven, Germany.</t>
  </si>
  <si>
    <t>flamy@awi-bremerhdven.de</t>
  </si>
  <si>
    <t>Elison Timm, Oliver/L-2543-2018; Arz, Helge W/A-6659-2013; Timmermann, Axel/Y-2799-2019; Toggweiler, J. R./O-5883-2019; Lamy, Frank/H-3611-2014; Hebbeln, Dierk/P-9766-2016</t>
  </si>
  <si>
    <t>Elison Timm, Oliver/0000-0001-8871-0602; Timmermann, Axel/0000-0003-0657-2969; Toggweiler, J. R./0000-0001-6345-5756; Lamy, Frank/0000-0001-5952-1765; Hebbeln, Dierk/0000-0001-5099-6115; Arz, Helge Wolfgang/0000-0002-1997-1718</t>
  </si>
  <si>
    <t>10.1016/j.epsl.2007.04.040</t>
  </si>
  <si>
    <t>WOS:000248535300014</t>
  </si>
  <si>
    <t>van de Flierdt, T; Goldstein, SL; Hemming, SR; Roy, M; Frank, M; Halliday, AN</t>
  </si>
  <si>
    <t>van de Flierdt, Tina; Goldstein, Steven L.; Hemming, Sidney R.; Roy, Martin; Frank, Martin; Halliday, Alex N.</t>
  </si>
  <si>
    <t>Global neodymium-hafnium isotope systematics - revisited</t>
  </si>
  <si>
    <t>neodymium isotopes; hafnium isotopes; seawater array; terrestrial array; incongruent weathering</t>
  </si>
  <si>
    <t>DISSOLVED ZIRCONIUM; OCEAN CIRCULATION; NORTH-ATLANTIC; PACIFIC-OCEAN; LU-HF; SEAWATER; ND; NODULES; EXCHANGE; SOUTHERN</t>
  </si>
  <si>
    <t>Global Nd-Hf isotope systematics can be mainly described with two linear arrays, the global silicate Earth array (the terrestrial array) and the global ferromanganese crust and nodule array (the seawater array). The offset between these two arrays provides evidence for the sources and mechanisms by which these elements are added to ocean water. However, the reason for this offset is under debate, with the two preferred hypotheses being (i) incongruent release of Hf during continental weathering and (ii) hydrothermal contribution of Hf to the seawater budget. Here we present new Nd and Hf isotope data on glacio-marine core-top sediments from around the perimeter of the Antarctic continent. The results range from epsilon(Hf)=-30.0to-epsilon(Hf)=+3.9 and epsilon(Nd)=-21.3 to epsilon(Nd)=+0.9, reflecting the large range of basement ages and lithologies around the Antarctic continent. In Nd-Hf isotope space, they confirm the systematic correlations found in rocks from other parts around the world and provide valuable insights into the previously underrepresented group of sediments with very old provenance. In this paper we revisit the cause for the offset of the seawater array from the terrestrial array using simple mass balance considerations. We use these calculations to test to what degree the seawater array could be a product of preferential weathering of non-zircon portions of the upper continental crust, implying retention of zircons in the solid residue of weathering. Lutetium-Hf and Sm-Nd evolution and mixing calculations show that the global seawater array can be generated with continental sources only. On the other hand, a predominantly hydrothermal origin of Hf in the ocean is not possible because the seawater Hf isotopic composition is significantly less radiogenic than hydrothermal sources, and requires a minimum fraction of 50% continental HE While hydrothermal sources may contribute some Hf to seawater, continental contributions are required to balance the budget. (c) 2007 Elsevier B.V. All rights reserved.</t>
  </si>
  <si>
    <t>Columbia Univ, Lamont Doherty Earth Observ, New York, NY 10964 USA; Columbia Univ, Dept Earth &amp; Environm Sci, New York, NY 10964 USA; Univ Quebec, Dept Sci Terre &amp; Atmospher, Montreal, PQ H3C 3P8, Canada; Leibniz Inst Marine Sci, IfM GEOMAR, D-24148 Kiel, Germany; Univ Oxford, Dept Earth Sci, Oxford OX 3PR, England</t>
  </si>
  <si>
    <t>Columbia University; Columbia University; University of Quebec; University of Quebec Montreal; Helmholtz Association; GEOMAR Helmholtz Center for Ocean Research Kiel; University of Oxford</t>
  </si>
  <si>
    <t>van de Flierdt, T (corresponding author), Columbia Univ, Lamont Doherty Earth Observ, New York, NY 10964 USA.</t>
  </si>
  <si>
    <t>tina@ldeo.columbia.edu</t>
  </si>
  <si>
    <t>Hemming, Sidney/0000-0001-8117-2303; Frank, Martin/0000-0002-8606-4421; Goldstein, Steven L/0000-0001-7252-8064</t>
  </si>
  <si>
    <t>10.1016/j.epsl.2007.05.003</t>
  </si>
  <si>
    <t>WOS:000248535300016</t>
  </si>
  <si>
    <t>Sokolov, S; Rintoul, SR</t>
  </si>
  <si>
    <t>Sokolov, Serguei; Rintoul, Stephen R.</t>
  </si>
  <si>
    <t>On the relationship between fronts of the Antarctic Circumpolar Current and surface chlorophyll concentrations in the Southern Ocean</t>
  </si>
  <si>
    <t>PHYTOPLANKTON PRODUCTION; SEASONAL EVOLUTION; ATLANTIC SECTOR; ALTIMETER DATA; WATER MASSES; POLAR FRONT; MIXED-LAYER; ZONE SOUTH; IRON; CIRCULATION</t>
  </si>
  <si>
    <t>[1] We reexamine the relationship between circulation, bathymetry, and surface chlorophyll in the Southern Ocean, using new high-resolution maps of the frontal structure of the Antarctic Circumpolar Current (ACC) derived from satellite altimetry. The maps reveal that the ACC consists of multiple filaments or jets. By averaging surface chlorophyll measurements along streamlines, we show that the fronts define the limits of zones with similar concentrations and seasonality of surface chlorophyll. The overall pattern of surface chlorophyll is consistent with strongest upwelling of nutrient-rich deep water south of the Polar Front (PF). However, the distribution of chlorophyll in the Southern Ocean is concentrated in a number of persistent blooms, observed downstream of islands and bathymetric features. In contrast to previous studies, we find little evidence that the fronts of the ACC are associated with enhanced productivity, at least where the fronts are distant from topography. Rather, we find that most regions of elevated chlorophyll in the open Southern Ocean can be explained by upwelling of nutrients ( both macronutrients and micronutrients) where the ACC interacts with topography, followed by downstream advection. The upwelling is shown to be the consequence of the bottom pressure torque established by the large-scale flow, rather than being due to small-scale instabilities of the jets. The interaction of the flow with the topography therefore establishes both the large-scale dynamical balance of the ACC and determines the productivity of the open Southern Ocean.</t>
  </si>
  <si>
    <t>Wealth Oceans CSIRO Natl Res Flagship &amp; Antarctic, Hobart, Tas 7001, Australia</t>
  </si>
  <si>
    <t>Sokolov, S (corresponding author), Wealth Oceans CSIRO Natl Res Flagship &amp; Antarctic, Hobart, Tas 7001, Australia.</t>
  </si>
  <si>
    <t>serguei.sokolov@csiro.au</t>
  </si>
  <si>
    <t>Sokolov, Serguei/A-4882-2008; Rintoul, Stephen R/A-1471-2012</t>
  </si>
  <si>
    <t>Rintoul, Stephen R/0000-0002-7055-9876</t>
  </si>
  <si>
    <t>JUL 28</t>
  </si>
  <si>
    <t>C7</t>
  </si>
  <si>
    <t>C07030</t>
  </si>
  <si>
    <t>10.1029/2006JC004072</t>
  </si>
  <si>
    <t>195PP</t>
  </si>
  <si>
    <t>WOS:000248424400006</t>
  </si>
  <si>
    <t>Smith, KL; Robison, BH; Helly, JJ; Kaufmann, RS; Ruhl, HA; Shaw, TJ; Twining, BS; Vernet, M</t>
  </si>
  <si>
    <t>Smith, Kenneth L., Jr.; Robison, Bruce H.; Helly, John J.; Kaufmann, Ronald S.; Ruhl, Henry A.; Shaw, Timothy J.; Twining, Benjamin S.; Vernet, Maria</t>
  </si>
  <si>
    <t>Free-drifting icebergs: Hot spots of chemical and biological enrichment in the Weddell Sea</t>
  </si>
  <si>
    <t>SOUTHERN-OCEAN; ANTARCTIC PENINSULA; MARINE MAMMALS; CLIMATE-CHANGE; IRON; ICE; PHYTOPLANKTON; DISSOLUTION; OXIDE</t>
  </si>
  <si>
    <t>The proliferation of icebergs from Antarctica over the past decade has raised questions about their potential impact on the surrounding pelagic ecosystem. Two free-drifting icebergs, 0.1 and 30.8 square kilometers in aerial surface area, and the surrounding waters were sampled in the northwest Weddell Sea during austral spring 2005. There was substantial enrichment of terrigenous material, and there were high concentrations of chlorophyll, krill, and seabirds surrounding each iceberg, extending out to a radial distance of similar to 3.7 kilometers. Extrapolating these results to all icebergs in the same size range, with the use of iceberg population estimates from satellite surveys, indicates that they similarly affect 39% of the surface ocean in this region. These results suggest that free-drifting icebergs can substantially affect the pelagic ecosystem of the Southern Ocean and can serve as areas of enhanced production and sequestration of organic carbon to the deep sea.</t>
  </si>
  <si>
    <t>Monterey Bay Aquarium Res Inst, Moss Landing, CA 95039 USA; Univ Calif San Diego, San Diego Supercomp Ctr, La Jolla, CA 92093 USA; Univ San Diego, Marine Sci &amp; Environm Studies Dept, San Diego, CA 92110 USA; Univ S Carolina, Dept Chem &amp; Biochem, Columbia, SC 29208 USA; Univ Calif San Diego, Integrat Oceanog Div, Scripps Inst Oceanog, La Jolla, CA 92093 USA</t>
  </si>
  <si>
    <t>Monterey Bay Aquarium Research Institute; University of California System; University of California San Diego; University of San Diego; University of South Carolina System; University of South Carolina Columbia; University of California System; University of California San Diego; Scripps Institution of Oceanography</t>
  </si>
  <si>
    <t>Smith, KL (corresponding author), Monterey Bay Aquarium Res Inst, 7700 Sandholdt Rd, Moss Landing, CA 95039 USA.</t>
  </si>
  <si>
    <t>ksmith@mbari.org</t>
  </si>
  <si>
    <t>Twining, Benjamin/0000-0002-1365-9192; Shaw, Timothy/0000-0002-0032-457X</t>
  </si>
  <si>
    <t>JUL 27</t>
  </si>
  <si>
    <t>10.1126/science.1142834</t>
  </si>
  <si>
    <t>194JD</t>
  </si>
  <si>
    <t>WOS:000248339800035</t>
  </si>
  <si>
    <t>Martrat, B; Grimalt, JO; Shackleton, NJ; de Abreu, L; Hutterli, MA; Stocker, TF</t>
  </si>
  <si>
    <t>Martrat, Belen; Grimalt, Joan O.; Shackleton, Nicholas J.; de Abreu, Lucia; Hutterli, Manuel A.; Stocker, Thomas F.</t>
  </si>
  <si>
    <t>Four climate cycles of recurring deep and surface water destabilizations on the Iberian margin</t>
  </si>
  <si>
    <t>NORTH-ATLANTIC; THERMOHALINE CIRCULATION; PLANKTONIC-FORAMINIFERA; SOUTHERN EUROPE; SCALE; VARIABILITY; INSTABILITY; GREENLAND; RECORDS; OCEAN</t>
  </si>
  <si>
    <t>Centennial climate variability over the last ice age exhibits clear bipolar behavior. High-resolution analyses of marine sediment cores from the Iberian margin trace a number of associated changes simultaneously. Proxies of sea surface temperature and water mass distribution, as well as relative biomarker content, demonstrate that this typical north-south coupling was pervasive for the cold phases of climate during the past 420,000 years. Cold episodes after relatively warm and largely ice-free periods occurred when the predominance of deep water formation changed from northern to southern sources. These results reinforce the connection between rapid climate changes at Mediterranean latitudes and century-to-millennial variability in northern and southern polar regions.</t>
  </si>
  <si>
    <t>IIQAB CSIC, Dept Environm Chem, Chem &amp; Environm Res Inst Barcelona, Spanish Natl Res Council, Barcelona 08034, Spain; Univ Cambridge, Dept Earth Sci, Godwin Lab Palaeoclimate Res, Cambridge CB2 3EQ, England; British Antarctic Survey, Cambridge CB3 0ET, England; Univ Bern, Inst Phys, CH-3012 Bern, Switzerland</t>
  </si>
  <si>
    <t>Consejo Superior de Investigaciones Cientificas (CSIC); University of Cambridge; UK Research &amp; Innovation (UKRI); Natural Environment Research Council (NERC); NERC British Antarctic Survey; University of Bern</t>
  </si>
  <si>
    <t>Grimalt, JO (corresponding author), IIQAB CSIC, Dept Environm Chem, Chem &amp; Environm Res Inst Barcelona, Spanish Natl Res Council, Barcelona 08034, Spain.</t>
  </si>
  <si>
    <t>jgoqam@cid.csic.es</t>
  </si>
  <si>
    <t>Martrat, Belen/I-5952-2015; Stocker, Thomas F/B-1273-2013; Grimalt, Joan/E-2073-2011</t>
  </si>
  <si>
    <t>Martrat, Belen/0000-0001-9904-9178; Grimalt, Joan/0000-0002-7391-5768</t>
  </si>
  <si>
    <t>10.1126/science.1139994</t>
  </si>
  <si>
    <t>WOS:000248339800042</t>
  </si>
  <si>
    <t>Paltridge, GW; Farquhar, GD; Cuntz, M</t>
  </si>
  <si>
    <t>Paltridge, Garth W.; Farquhar, Graham D.; Cuntz, Matthias</t>
  </si>
  <si>
    <t>Maximum entropy production, cloud feedback, and climate change</t>
  </si>
  <si>
    <t>FLUCTUATION THEOREM; MODELS</t>
  </si>
  <si>
    <t>A steady-state energy-balance climate model based on a global constraint of maximum entropy production is used to examine cloud feedback and the response of surface temperature T to doubled atmospheric CO2. The constraint ensures that change in zonal cloud amount theta necessarily involves change in the convergence KX of meridional energy flow. Without other feedbacks, the changes in q, KX and T range from about 2%, 2 Wm(-2) and 1.5 K respectively at the equator to -2%, -2 Wm(-2) and 0.5 K at the poles. Global-average cloud effectively remains unchanged with increasing CO2 and has little effect on global-average temperature. Global-average cloud decreases with increasing water vapour and amplifies the positive feedback of water vapour and lapse rate. The net result is less cloud at all latitudes and a rise in T of the order of 3 K at the equator and 1 K at the poles. Ice-albedo and solar absorption feedbacks are not considered.</t>
  </si>
  <si>
    <t>Australian Natl Univ, Res Sch Biol Sci, Canberra, ACT 2601, Australia; Univ Tasmania, Inst Antarctic &amp; So Ocean Studies, Hobart, Tas 7001, Australia</t>
  </si>
  <si>
    <t>Australian National University; University of Tasmania</t>
  </si>
  <si>
    <t>Paltridge, GW (corresponding author), Australian Natl Univ, Res Sch Biol Sci, GPO Box 475, Canberra, ACT 2601, Australia.</t>
  </si>
  <si>
    <t>g.paltridge@utas.edu.au</t>
  </si>
  <si>
    <t>FARQUHAR, GRAHAM D/A-3722-2008</t>
  </si>
  <si>
    <t>Farquhar, Graham/0000-0002-7065-1971; Cuntz, Matthias/0000-0002-5966-1829</t>
  </si>
  <si>
    <t>JUL 26</t>
  </si>
  <si>
    <t>L14708</t>
  </si>
  <si>
    <t>10.1029/2007GL029925</t>
  </si>
  <si>
    <t>195NX</t>
  </si>
  <si>
    <t>WOS:000248420000001</t>
  </si>
  <si>
    <t>Zenk, W; Morozov, E</t>
  </si>
  <si>
    <t>Zenk, Walter; Morozov, Eugene</t>
  </si>
  <si>
    <t>Decadal warming of the coldest Antarctic Bottom Water flow through the Vema Channel</t>
  </si>
  <si>
    <t>CIRCULATION; ATLANTIC</t>
  </si>
  <si>
    <t>A decadal warming trend of Antarctic Bottom Water flowing through the Vema Channel is reanalyzed. Our data base consists of 94 high precision, full depth stations from 19 visits to the Vema Sill plus twelve stopovers at two additional key locations. Originally a long-term temperature increase in the near-bottom jet was noted from 1992 onward, after a period of rather constant abyssal temperatures since 1972. From today's perspective the apparent stagnant temperature level until 1991 can be interpreted as a period of feeble rising in comparison with a perspicuous warming trend of 2.8 mK yr(-1) in the following 15 years. However, the clearly manifested temperature rise is superimposed with fluctuations. For the first time the available time series appears long enough to indicate an associated slight freshening of the bottom water. An attempt is made to trace the observed variability back to its source region in the Weddell Sea.</t>
  </si>
  <si>
    <t>Univ Kiel, Leibniz Inst Marine Sci, IFM, GEOMAR, D-24105 Kiel, Germany; PP Shirshov Oceanol Inst, Moscow, Russia</t>
  </si>
  <si>
    <t>Helmholtz Association; GEOMAR Helmholtz Center for Ocean Research Kiel; University of Kiel; Russian Academy of Sciences; Shirshov Institute of Oceanology</t>
  </si>
  <si>
    <t>Zenk, W (corresponding author), Univ Kiel, Leibniz Inst Marine Sci, IFM, GEOMAR, D-24105 Kiel, Germany.</t>
  </si>
  <si>
    <t>wzenk@ifm-geomar.de; egmorozov@mail.ru</t>
  </si>
  <si>
    <t>Morozov, Eugene G/L-3023-2018</t>
  </si>
  <si>
    <t>Morozov, Eugene/0000-0002-0251-3454</t>
  </si>
  <si>
    <t>L14607</t>
  </si>
  <si>
    <t>10.1029/2007GL030340</t>
  </si>
  <si>
    <t>WOS:000248420000003</t>
  </si>
  <si>
    <t>Tibby, J; Haberle, SG</t>
  </si>
  <si>
    <t>Tibby, J.; Haberle, S. G.</t>
  </si>
  <si>
    <t>A late glacial to present diatom record from Lake Euramoo, wet tropics of Queensland, Australia</t>
  </si>
  <si>
    <t>pleistocene; holocene; tropical; palaeolimnology; climate; lake level</t>
  </si>
  <si>
    <t>EL-NINO/SOUTHERN-OSCILLATION; LAST TERMINATION; CLIMATE-CHANGE; VARIABILITY; GREENLAND; SALINITY; PACIFIC</t>
  </si>
  <si>
    <t>A new diatom record from Lake Euramoo on the Atherton Tableland, north Queensland, Australia is used to assess regional climate change and variability and their links to forcing at a local to global scale. The major factor driving diatom composition in the approximately fifteen thousand-year record appears to be regional moisture availability. Patterns of diatom preservation and other indicators, particularly sediment organic content, suggest that permanent deep water formed at the site from ca. 15,000 cal. yr BP. However, between 13,800 and 11,500 cal. yr BP, there was a notable phase of lower lake levels and effective precipitation. The timing and duration of this phase does not correspond to large-scale climate phenomena such as the Antarctic Cold Reversal or the Younger Dryas and supports emerging evidence for a variable climate regime in the south-west Pacific during the late glacial transition. The Early to Mid Holocene record is one of remarkable stability with 5000 years of sustained dominance by the planktonic diatom Aulacoseira ambigua. Conversely, the Mid to Late Holocene record is marked by distinct diatom variability superimposed on a series of sustained shifts in composition. Accentuated Late Holocene climate variability may aid in explaining intensified land use in indigenous populations and also suggests that Europeans may have arrived in the landscape at the time it was most vulnerable to perturbation. (C) 2007 Elsevier B.V. All rights reserved.</t>
  </si>
  <si>
    <t>Univ Adelaide, Adelaide, SA 5005, Australia; Australian Natl Univ, Res Sch Pacific &amp; Asian Studies, Dept Archaeol &amp; Nat Hist, Canberra, ACT 0200, Australia</t>
  </si>
  <si>
    <t>University of Adelaide; Australian National University</t>
  </si>
  <si>
    <t>Tibby, J (corresponding author), Univ Adelaide, Adelaide, SA 5005, Australia.</t>
  </si>
  <si>
    <t>john.tibby@adelaide.edu.au</t>
  </si>
  <si>
    <t>Haberle, Simon/U-4118-2019</t>
  </si>
  <si>
    <t>Haberle, Simon/0000-0001-5802-6535; Tibby, John/0000-0002-5897-2932</t>
  </si>
  <si>
    <t>JUL 25</t>
  </si>
  <si>
    <t>10.1016/j.palaeo.2007.02.017</t>
  </si>
  <si>
    <t>200CY</t>
  </si>
  <si>
    <t>WOS:000248742700004</t>
  </si>
  <si>
    <t>Little, LR; Punt, AE; Mapstone, BD; Pantus, F; Smith, ADM; Dauies, CR; McDonald, AD</t>
  </si>
  <si>
    <t>Little, L. R.; Punt, A. E.; Mapstone, B. D.; Pantus, F.; Smith, A. D. M.; Dauies, C. R.; McDonald, A. D.</t>
  </si>
  <si>
    <t>ELFSim - A model for evaluating management options for spatially structured reef fish populations: An illustration of the larval subsidy effect</t>
  </si>
  <si>
    <t>coral reefs; fisheries management; great barrier reef; larval subsidy; marine reserves; marine protected areas; simulation</t>
  </si>
  <si>
    <t>GREAT-BARRIER-REEF; PLECTROPOMUS-LEOPARDUS SERRANIDAE; MARINE RESERVES; FISHERIES MANAGEMENT; CORAL TROUT; SELF-RECRUITMENT; MATERNAL-AGE; DISPERSAL; SIZE; ECOSYSTEMS</t>
  </si>
  <si>
    <t>A spatially-structured simulation model of the metapopulation dynamics of common coral trout (Plectropomus leopardus) and their harvest by line fishing was developed to evaluate potential management options on the Great Barrier Reef (GBR), including closing areas to fishing. The effects of line fishing simulator (ELFSim) incorporates a spatially-structured model of the life-history of common coral trout, including larval dispersal, harvest by multiple fishing sectors (commercial, charter and recreational), and a range of mechanisms for regulating harvest. The model is designed to allow considerable flexibility in biological and fishery dynamics, to be portable to contexts other than the GBR, and to be modular to allow comparison of different implementations of biological and harvest model components. In this paper, we describe the details of the model and discuss its utility as a tool for evaluating fishery management strategies in the context of diverse stakeholder expectations. We illustrate a simple application by changing the rate at which larvae settle on the reef from which they were spawned, under a range of spatial closures and a scenario of steadily increasing fishing effort. The results identify the conditions under which a larval subsidy effect may be important to the performance of fishery management strategies. This effect was manifest as increased catches outside of areas closed to fishing when larvae were freely exchanged among reefs compared to when larval exchange was diminished or absent. (c) 2007 Elsevier B.V All rights reserved.</t>
  </si>
  <si>
    <t>CSIRO Marine &amp; Atmospher Res, Hobart, Tas, Australia; Univ Washington, Sch Aquat &amp; Fishery Sci, Seattle, WA 98195 USA; Univ Tasmania, Antarctic Climate &amp; Ecosysts CRC, Hobart, Tas 7001, Australia; James Cook Univ N Queensland, CRC Reef, Townsville, Qld 4811, Australia; CSIRO Marine &amp; Atmospher Res, Cleveland, Qld, Australia; CSIRO Marine &amp; Atmospher Res, Aspendale, Vic, Australia</t>
  </si>
  <si>
    <t>Commonwealth Scientific &amp; Industrial Research Organisation (CSIRO); University of Washington; University of Washington Seattle; University of Tasmania; James Cook University; Commonwealth Scientific &amp; Industrial Research Organisation (CSIRO); Commonwealth Scientific &amp; Industrial Research Organisation (CSIRO)</t>
  </si>
  <si>
    <t>Little, LR (corresponding author), CSIRO Marine &amp; Atmospher Res, GPO Box 1538, Hobart, Tas, Australia.</t>
  </si>
  <si>
    <t>Rich.Little@csiro.au</t>
  </si>
  <si>
    <t>Smith, Tony D/A-4017-2012; Little, Rich/E-7578-2011</t>
  </si>
  <si>
    <t>Little, Rich/0000-0002-5650-7391; Punt, Andre/0000-0001-8489-2488</t>
  </si>
  <si>
    <t>JUL 24</t>
  </si>
  <si>
    <t>10.1016/j.ecolmodel.2007.03.005</t>
  </si>
  <si>
    <t>180PO</t>
  </si>
  <si>
    <t>WOS:000247378200010</t>
  </si>
  <si>
    <t>Fuckar, NS; Vallis, GK</t>
  </si>
  <si>
    <t>Fuckar, Neven S.; Vallis, Geoffrey K.</t>
  </si>
  <si>
    <t>Interhemispheric influence of surface buoyancy conditions on a circumpolar current</t>
  </si>
  <si>
    <t>LARGE-SCALE CIRCULATION; OCEAN; MODEL; STRATIFICATION; EDDIES; WIND</t>
  </si>
  <si>
    <t>This study shows that the surface buoyancy conditions in the Northern Hemisphere may influence the stratification and transport of the Antarctic Circumpolar Current (ACC). We use a course-resolution ocean general circulation model (OGCM) in an idealized single-basin configuration with a circumpolar channel. A decrease in the magnitude of the surface temperature meridional gradient in the Northern Hemisphere reduces production of the deep water, affecting the interhemispheric Meridional Overturning Circulation (MOC) and deepening the thermocline in both hemispheres. The induced change of stratification in the Southern Hemisphere circumpolar region increases the zonal volume transport of circumpolar current because of an increase in the local meridional density gradient and the associated thermal wind shear, which is the dominant baroclinic component of the total volume transport. The result is robust to variations in the background vertical mixing and the parameterization scheme for mesoscale eddies.</t>
  </si>
  <si>
    <t>Princeton Univ, Atmospher &amp; Ocean Sci Program, Princeton, NJ 08544 USA; NOAA Geophys Fluid Dynam Lab, Princeton, NJ USA</t>
  </si>
  <si>
    <t>Princeton University; National Oceanic Atmospheric Admin (NOAA) - USA; National Oceanic Atmospheric Admin (NOAA) - USA</t>
  </si>
  <si>
    <t>Fuckar, NS (corresponding author), Princeton Univ, Atmospher &amp; Ocean Sci Program, Princeton, NJ 08544 USA.</t>
  </si>
  <si>
    <t>nevensf@princeton.edu; gkv@princeton.edu</t>
  </si>
  <si>
    <t>Fuckar, Neven S./0000-0002-0097-3764</t>
  </si>
  <si>
    <t>L14605</t>
  </si>
  <si>
    <t>10.1029/2007GL030379</t>
  </si>
  <si>
    <t>195NU</t>
  </si>
  <si>
    <t>WOS:000248419700007</t>
  </si>
  <si>
    <t>Petkewich, R</t>
  </si>
  <si>
    <t>Petkewich, Rachel</t>
  </si>
  <si>
    <t>Halogens hover in antarctic</t>
  </si>
  <si>
    <t>CHEMICAL &amp; ENGINEERING NEWS</t>
  </si>
  <si>
    <t>0009-2347</t>
  </si>
  <si>
    <t>CHEM ENG NEWS</t>
  </si>
  <si>
    <t>Chem. Eng. News</t>
  </si>
  <si>
    <t>JUL 23</t>
  </si>
  <si>
    <t>Chemistry, Multidisciplinary; Engineering, Chemical</t>
  </si>
  <si>
    <t>Chemistry; Engineering</t>
  </si>
  <si>
    <t>194ZP</t>
  </si>
  <si>
    <t>WOS:000248382600005</t>
  </si>
  <si>
    <t>Cofaigh, CO; Evans, J; Dowdeswell, JA; Larter, RD</t>
  </si>
  <si>
    <t>Cofaigh, Colm O.; Evans, Jeffrey; Dowdeswell, Julian A.; Larter, Rob D.</t>
  </si>
  <si>
    <t>Till characteristics, genesis and transport beneath Antarctic paleo-ice streams</t>
  </si>
  <si>
    <t>JOURNAL OF GEOPHYSICAL RESEARCH-EARTH SURFACE</t>
  </si>
  <si>
    <t>LAST GLACIAL MAXIMUM; PINE ISLAND BAY; SEDIMENTARY PROCESSES; WEST ANTARCTICA; SUBGLACIAL TILL; CONTINENTAL-SHELF; BELLINGSHAUSEN SEA; LAYER BENEATH; FLOW DYNAMICS; SHEET</t>
  </si>
  <si>
    <t>[1] Marine geophysical data from the Antarctic continental shelf indicate the former presence of ice streams that drained through bathymetric troughs during the last glacial cycle. Streaming flow is recorded by elongate subglacial bedforms, formed in the upper part of an acoustically transparent sediment layer. Cores from the layer demonstrate that it is a weak and porous subglacial till (soft till''). Shear within the soft till was concentrated in zones that were 0.1-0.9 m thick. The soft till is a hybrid'' till, formed by a combination of subglacial sediment deformation and lodgment. The base of the soft till is marked by a strong reflector which represents the top of a denser and stronger stiff till.'' The form of this reflector ranges from flat and continuous to deeply grooved and irregular, implying the operation of different mechanisms of sediment mobilization and incorporation into the soft till layer. The irregular form of the basal reflector is consistent with grooving, whereas the flat and continuous form is more consistent with sediment mobilization as a subglacial traction carpet related to changes in basal effective stress. Geophysical evidence for large-scale advection of the soft till, combined with evidence for deformation partitioning into relatively thin layers up to 0.9 m thick, indicates that localized shear zones integrated to transport significant volumes of sediment beneath Antarctic paleo-ice streams.</t>
  </si>
  <si>
    <t>Univ Durham, Dept Geog, Durham DH1 3LE, England; Univ Cambridge, Scott Polar Res Inst, Cambridge CB2 1ER, England; British Antarctic Survey, Cambridge CB3 0ET, England</t>
  </si>
  <si>
    <t>Durham University; University of Cambridge; UK Research &amp; Innovation (UKRI); Natural Environment Research Council (NERC); NERC British Antarctic Survey</t>
  </si>
  <si>
    <t>Cofaigh, CO (corresponding author), Univ Durham, Dept Geog, Durham DH1 3LE, England.</t>
  </si>
  <si>
    <t>Evans, Jeffrey/F-5548-2010</t>
  </si>
  <si>
    <t>Larter, Robert/0000-0002-8414-7389; Dowdeswell, Julian/0000-0003-1369-9482</t>
  </si>
  <si>
    <t>Natural Environment Research Council [bas010018, NE/B501171/1, NER/G/S/2002/00009] Funding Source: researchfish; NERC [bas010018] Funding Source: UKRI</t>
  </si>
  <si>
    <t>2169-9003</t>
  </si>
  <si>
    <t>2169-9011</t>
  </si>
  <si>
    <t>J GEOPHYS RES-EARTH</t>
  </si>
  <si>
    <t>J. Geophys. Res.-Earth Surf.</t>
  </si>
  <si>
    <t>JUL 21</t>
  </si>
  <si>
    <t>F3</t>
  </si>
  <si>
    <t>F03006</t>
  </si>
  <si>
    <t>10.1029/2006JF000606</t>
  </si>
  <si>
    <t>193PO</t>
  </si>
  <si>
    <t>Bronze, Green Accepted, Green Published</t>
  </si>
  <si>
    <t>WOS:000248286700001</t>
  </si>
  <si>
    <t>Kellerer, A; Sarazin, M; Butterley, T; Wilson, R</t>
  </si>
  <si>
    <t>Kellerer, A.; Sarazin, M.; Butterley, T.; Wilson, R.</t>
  </si>
  <si>
    <t>Method of estimating time scales of atmospheric piston and its application at Dome C (Antarctica)</t>
  </si>
  <si>
    <t>APPLIED OPTICS</t>
  </si>
  <si>
    <t>Temporal fluctuations of the atmospheric piston are critical for interferometers sensitivity. We characterize an instrumental setup, termed the piston scope, that atmospheric time constant, To, through the image motion in the focal plane of a High-resolution piston scope measurements have been obtained at the April 2006. The derived atmospheric parameters are shown to be consistent nomical site monitor, provided that the atmospheric turbulence is displaced piston scope measurements of lower temporal and spatial resolution were to be the first time in February 2005 at the Antarctic site of Dome C. Their data calibration sharpens the conclusions of a first qualitative examination.</t>
  </si>
  <si>
    <t>European So Observ, D-85748 Garching, Germany; Univ Durham, Dept Phys, Durham DH1 3LE, England</t>
  </si>
  <si>
    <t>European Southern Observatory; Durham University</t>
  </si>
  <si>
    <t>Kellerer, A (corresponding author), European So Observ, Karl Schwarzschild Str 2, D-85748 Garching, Germany.</t>
  </si>
  <si>
    <t>aglae.kellerer@eso.org</t>
  </si>
  <si>
    <t>Sarazin, Marc/AAF-1273-2020</t>
  </si>
  <si>
    <t>Sarazin, Marc/0000-0002-3751-8992; Butterley, Timothy/0000-0002-2853-0834</t>
  </si>
  <si>
    <t>OPTICAL SOC AMER</t>
  </si>
  <si>
    <t>2010 MASSACHUSETTS AVE NW, WASHINGTON, DC 20036 USA</t>
  </si>
  <si>
    <t>1559-128X</t>
  </si>
  <si>
    <t>2155-3165</t>
  </si>
  <si>
    <t>APPL OPTICS</t>
  </si>
  <si>
    <t>Appl. Optics</t>
  </si>
  <si>
    <t>JUL 20</t>
  </si>
  <si>
    <t>10.1364/AO.46.004754</t>
  </si>
  <si>
    <t>Optics</t>
  </si>
  <si>
    <t>191NR</t>
  </si>
  <si>
    <t>WOS:000248138500027</t>
  </si>
  <si>
    <t>Saiz-Lopez, A; Mahajan, AS; Salmon, RA; Bauguitte, SJB; Jones, AE; Roscoe, HK; Plane, JMC</t>
  </si>
  <si>
    <t>Saiz-Lopez, Alfonso; Mahajan, Anoop S.; Salmon, Rhian A.; Bauguitte, Stephane J. -B.; Jones, Anna E.; Roscoe, Howard K.; Plane, John M. C.</t>
  </si>
  <si>
    <t>Boundary layer halogens in coastal Antarctica</t>
  </si>
  <si>
    <t>POLAR SUNRISE; TROPOSPHERIC CHEMISTRY; OZONE DESTRUCTION; IODINE OXIDE; BRO; PHYTOPLANKTON; PARTICLES; DEPLETION; IO</t>
  </si>
  <si>
    <t>Halogens influence the oxidizing capacity of Earth's troposphere, and iodine oxides form ultrafine aerosols, which may have an impact on climate. We report year-round measurements of boundary layer iodine oxide and bromine oxide at the near-coastal site of Halley Station, Antarctica. Surprisingly, both species are present throughout the sunlit period and exhibit similar seasonal cycles and concentrations. The springtime peak of iodine oxide ( 20 parts per trillion) is the highest concentration recorded anywhere in the atmosphere. These levels of halogens cause substantial ozone depletion, as well as the rapid oxidation of dimethyl sulfide and mercury in the Antarctic boundary layer.</t>
  </si>
  <si>
    <t>Univ Leeds, Sch Chem, Leeds LS2 9JT, W Yorkshire, England; Univ E Anglia, Sch Environm Sci, Norwich NR4 7JT, Norfolk, England; British Antarctic Survey, NERC, Cambridge CB3 0ET, England</t>
  </si>
  <si>
    <t>University of Leeds; University of East Anglia; UK Research &amp; Innovation (UKRI); Natural Environment Research Council (NERC); NERC British Antarctic Survey</t>
  </si>
  <si>
    <t>Plane, JMC (corresponding author), Univ Leeds, Sch Chem, Leeds LS2 9JT, W Yorkshire, England.</t>
  </si>
  <si>
    <t>J.M.C.Plane@leeds.ac.uk</t>
  </si>
  <si>
    <t>Saiz-Lopez, Alfonso/B-3759-2015; Mahajan, Anoop/D-2714-2012; Plane, John/C-7444-2015</t>
  </si>
  <si>
    <t>Saiz-Lopez, Alfonso/0000-0002-0060-1581; Mahajan, Anoop/0000-0002-2909-5432; Plane, John/0000-0003-3648-6893</t>
  </si>
  <si>
    <t>Natural Environment Research Council [NER/G/S/2001/00010] Funding Source: researchfish</t>
  </si>
  <si>
    <t>10.1126/science.1141408</t>
  </si>
  <si>
    <t>191RR</t>
  </si>
  <si>
    <t>WOS:000248150200040</t>
  </si>
  <si>
    <t>Kahru, M; Mitchell, BG; Gille, ST; Hewes, CD; Holm-Hansen, O</t>
  </si>
  <si>
    <t>Kahru, M.; Mitchell, B. G.; Gille, S. T.; Hewes, C. D.; Holm-Hansen, O.</t>
  </si>
  <si>
    <t>Eddies enhance biological production in the Weddell-Scotia confluence of the southern ocean</t>
  </si>
  <si>
    <t>ANTARCTIC CIRCUMPOLAR CURRENT; PHYTOPLANKTON BIOMASS; IRON; SEA; DISTRIBUTIONS; BLOOMS; WATERS; IMPACT; ZONE</t>
  </si>
  <si>
    <t>[1] Satellite data show that oceanic eddies generated in the Southern Antarctic Circumpolar Current Front ( SACCF) are associated with increased phytoplankton biomass. Cyclonic eddies with high chlorophyll a concentration ( Chl-a) retain phytoplankton within the eddy cores and increase the light available for photosynthesis in the upper mixed layer by limiting vertical mixing and lifting of the isopycnal surfaces. Anticyclonic eddies have low Chl- a in the core but increased Chl- a in the periphery. Cross- frontal mixing mediated by eddies transports nutrients ( e. g., Fe and Si) to the north and contributes to the increased Chl- a in the frontal zone. Interannual variations in the cyclonic eddy activity are positively correlated with variations in Chl- a during the spring bloom in regions of the Antarctic Circumpolar Current around South Georgia.</t>
  </si>
  <si>
    <t>Kahru, M (corresponding author), Univ Calif San Diego, Scripps Inst Oceanog, La Jolla, CA 92093 USA.</t>
  </si>
  <si>
    <t>mkahru@.ucsd.edu</t>
  </si>
  <si>
    <t>Gille, Sarah T./B-3171-2012</t>
  </si>
  <si>
    <t>Gille, Sarah/0000-0001-9144-4368; Mitchell, B. Greg/0000-0002-8550-4333</t>
  </si>
  <si>
    <t>JUL 19</t>
  </si>
  <si>
    <t>L14603</t>
  </si>
  <si>
    <t>10.1029/2007GL030430</t>
  </si>
  <si>
    <t>193OX</t>
  </si>
  <si>
    <t>WOS:000248285000010</t>
  </si>
  <si>
    <t>Latteck, R; Singer, W; Morris, RJ; Holdsworth, DA; Murphy, DJ</t>
  </si>
  <si>
    <t>Latteck, R.; Singer, W.; Morris, R. J.; Holdsworth, D. A.; Murphy, D. J.</t>
  </si>
  <si>
    <t>Observation of polar mesosphere summer echoes with calibrated VHF radars at 69° in the Northern and Southern hemispheres</t>
  </si>
  <si>
    <t>MST RADAR; PMSE; LATITUDES; WINDS; TEMPERATURE; ANTARCTICA; MESOPAUSE; CLOUDS; MIDDLE</t>
  </si>
  <si>
    <t>[1] Polar Mesosphere Summer Echoes ( PMSE) observed in the northern and southern hemisphere were studied using continuous measurements obtained by calibrated VHF radars located at Andenes ( 69.3 degrees N) and Davis ( 68.6 degrees S) during the boreal summer 2004 and the austral summer 2004/ 2005. The PMSE observed at Davis have a lower peak volume reflectivity of approximately 4 center dot 10(-11) m(-1) compared with their counterparts (7 center dot 10(-10) m(-1)) observed at Andenes. The duration of the PMSE season is correlated with the dynamical and thermal state of the mesopause region supported by recent studies using meridional winds and temperatures. PMSE occurred less frequently but with greater variability above Davis. The diurnal variation of PMSE occurrence has a maximum around 11 - 16 LT in both hemispheres, and a minimum occurs during late evening with a longer duration in the southern hemisphere. The mean PMSE season at both sites started around 34 days before solstice, but the duration of the Davis PMSE season is about 9 days shorter than at Andenes. The maximum occurrence height of PMSE at Davis is 86 km which is about 1 km higher than at Andenes. Citation: Latteck, R., W. Singer, R. J. Morris, D. A. Holdsworth, and D. J. Murphy ( 2007), Observation of polar mesosphere summer echoes with calibrated VHF radars at 69 degrees in the Northern and Southern hemispheres, Geophys.</t>
  </si>
  <si>
    <t>Leibniz Inst Atmospher Phys, D-18225 Kuhlungsborn, Germany; Australian Antarctic Div, Kingston, Tas 7050, Australia; Atmospher Radar Syst, Thebarton, SA, Australia</t>
  </si>
  <si>
    <t>Leibniz Institut fur Atmospharenphysik e.V. an der Universitat Rostock (IAP); Australian Antarctic Division</t>
  </si>
  <si>
    <t>Latteck, R (corresponding author), Leibniz Inst Atmospher Phys, D-18225 Kuhlungsborn, Germany.</t>
  </si>
  <si>
    <t>latteck@iap-kborn.de</t>
  </si>
  <si>
    <t>Latteck, Ralph/0000-0002-0001-7473</t>
  </si>
  <si>
    <t>L14805</t>
  </si>
  <si>
    <t>10.1029/2007GL030032</t>
  </si>
  <si>
    <t>WOS:000248285000004</t>
  </si>
  <si>
    <t>Schröder, D; Connolley, WM</t>
  </si>
  <si>
    <t>Schroeder, D.; Connolley, W. M.</t>
  </si>
  <si>
    <t>Impact of instantaneous sea ice removal in a coupled general circulation model</t>
  </si>
  <si>
    <t>OCEAN INITIAL CONDITIONS; SIMULATION</t>
  </si>
  <si>
    <t>[1] The impact of extreme sea ice initial conditions on modelled climate is analysed for a fully coupled atmosphere ocean sea ice general circulation model, the Hadley Centre climate model HadCM3. A control run is chosen as reference experiment with greenhouse gas concentration fixed at preindustrial conditions. Sensitivity experiments show an almost complete recovery from total removal or strong increase of sea ice after four years. Thus, uncertainties in initial sea ice conditions seem to be unimportant for climate modelling on decadal or longer time scales. When the initial conditions of the ocean mixed layer were adjusted to ice- free conditions, a few substantial differences remained for more than 15 model years. But these differences are clearly smaller than the uncertainty of the HadCM3 run and all the other 19 IPCC fourth assessment report climate model preindustrial runs. It is an important task to improve climate models in simulating the past sea ice variability to enable them to make reliable projections for the 21st century.</t>
  </si>
  <si>
    <t>British Antarctic Survey, NERC, Cambridge CB3 0ET, England; Univ Trier, Dept Environm Meteorol, Fac Geosci, D-54286 Trier, Germany</t>
  </si>
  <si>
    <t>UK Research &amp; Innovation (UKRI); Natural Environment Research Council (NERC); NERC British Antarctic Survey; Universitat Trier</t>
  </si>
  <si>
    <t>Schröder, D (corresponding author), British Antarctic Survey, NERC, High Cross,Madingley Rd, Cambridge CB3 0ET, England.</t>
  </si>
  <si>
    <t>wmc@bas.ac.uk</t>
  </si>
  <si>
    <t>Natural Environment Research Council [bas010014] Funding Source: researchfish; NERC [bas010014] Funding Source: UKRI</t>
  </si>
  <si>
    <t>L14502</t>
  </si>
  <si>
    <t>10.1029/2007GL030253</t>
  </si>
  <si>
    <t>WOS:000248285000008</t>
  </si>
  <si>
    <t>Miller, PA; Laxon, SW; Feltham, DL</t>
  </si>
  <si>
    <t>Miller, Paul A.; Laxon, Seymour W.; Feltham, Daniel L.</t>
  </si>
  <si>
    <t>Consistent and contrasting decadal Arctic sea ice thickness predictions from a highly optimized sea ice model</t>
  </si>
  <si>
    <t>NCEP-NCAR; DATA SETS; OCEAN; VARIABILITY; REANALYSES; DYNAMICS</t>
  </si>
  <si>
    <t>Decadal hindcast simulations of Arctic Ocean sea ice thickness made by a modern dynamic-thermodynamic sea ice model and forced independently by both the ERA-40 and NCEP/NCAR reanalysis data sets are compared for the first time. Using comprehensive data sets of observations made between 1979 and 2001 of sea ice thickness, draft, extent, and speeds, we find that it is possible to tune model parameters to give satisfactory agreement with observed data, thereby highlighting the skill of modern sea ice models, though the parameter values chosen differ according to the model forcing used. We find a consistent decreasing trend in Arctic Ocean sea ice thickness since 1979, and a steady decline in the Eastern Arctic Ocean over the full 40-year period of comparison that accelerated after 1980, but the predictions of Western Arctic Ocean sea ice thickness between 1962 and 1980 differ substantially. The origins of differing thickness trends and variability were isolated not to parameter differences but to differences in the forcing fields applied, and in how they are applied. It is argued that uncertainty, differences and errors in sea ice model forcing sets complicate the use of models to determine the exact causes of the recently reported decline in Arctic sea ice thickness, but help in the determination of robust features if the models are tuned appropriately against observations.</t>
  </si>
  <si>
    <t>UCL, Dept Earth Sci, London WC1E 6BT, England; British Antarctic Survey, Cambridge CB3 0ET, England</t>
  </si>
  <si>
    <t>Miller, PA (corresponding author), Lund Univ, Dept Phys Geog &amp; Ecosyst Anal, S-22364 Lund, Sweden.</t>
  </si>
  <si>
    <t>paul.miller@nateko.lu.se; swl@cpom.ucl.ac.uk; dlf@cpom.ucl.ac.uk</t>
  </si>
  <si>
    <t>Miller, Paul A/B-4675-2013; Laxon, Seymour/C-1644-2008</t>
  </si>
  <si>
    <t>Feltham, Daniel/0000-0003-2289-014X; Miller, Paul/0000-0003-1105-2132</t>
  </si>
  <si>
    <t>NERC [bas010013, cpom10001] Funding Source: UKRI; Natural Environment Research Council [cpom10001, bas010013] Funding Source: researchfish</t>
  </si>
  <si>
    <t>JUL 18</t>
  </si>
  <si>
    <t>C07020</t>
  </si>
  <si>
    <t>10.1029/2006JC003855</t>
  </si>
  <si>
    <t>193PQ</t>
  </si>
  <si>
    <t>WOS:000248286900002</t>
  </si>
  <si>
    <t>Venuti, A; Florindo, F; Michel, E; Hall, IR</t>
  </si>
  <si>
    <t>Venuti, Alessandra; Florindo, Fabio; Michel, Elisabeth; Hall, Ian R.</t>
  </si>
  <si>
    <t>Magnetic proxy for the deep (Pacific) western boundary current variability across the mid-Pleistocene climate transition</t>
  </si>
  <si>
    <t>DWBC; Chatham rise; New Zealand; Pleistocene; magnetostratigraphy; environmental magnetism</t>
  </si>
  <si>
    <t>NORTH-ATLANTIC; NEW-ZEALAND; MARINE-SEDIMENTS; SOUTH-ISLAND; GRAIN-SIZE; INFLOW; OCEAN; CALIBRATION; TIMESCALE; EVOLUTION</t>
  </si>
  <si>
    <t>The Deep Western Boundary Current (DWBC) inflow to the SW Pacific is one of the largest, transporting similar to 40% of the total input of deep water to the world's oceans. Here we use a sedimentary record from the giant piston core MD97-2114 collected on the northern flank of the Chatham Rise located at 1935 in water depth, east of New Zealand, to investigate DWBC variability during the Pleistocene epoch when the period of glacial cycles changed progressively from a 41 kyr to 100 kyr rhythm. Magnetic grain-size may be directly related to orbitally forced fluctuations in the strength of the upper circumpolar deep water (UCDW) through its interaction with terrigenous sediments supplied from the south and west. The long-term trends in magnetic properties are characterized by two main perturbations centered at 870 ka (Marine Isotope Stage, MIS 22) 450 ka (MIS 12), which is broadly consistent with the inferred perturbation during the mid-Pleistocene climate transition based on sedimento logical paleocurrent reconstruction from Ocean Drilling Program Site 1123 located at 3290 m water depth in the main core of the DWBC flow on the North Chatham Drift. This similarity, suggests that both the upper and middle CDW are modulated by similar processes and fluctuations of Antarctic Bottom Water production could be directly responsible for this deep Pacific Ocean inflow variability over the past 1.2 Ma. (c) 2007 Published by Elsevier B.V..</t>
  </si>
  <si>
    <t>Ist Nazl Geofis &amp; Vulcanol, I-00143 Rome, Italy; Univ Siena, I-53100 Siena, Italy; Lab Sci Climat &amp; Environm, F-91198 Gif Sur Yvette, France; Cardiff Univ, Sch Earth Ocean &amp; Planetary Sci, Cardiff CF10 3YE, S Glam, Wales</t>
  </si>
  <si>
    <t>Istituto Nazionale Geofisica e Vulcanologia (INGV); University of Siena; CEA; Centre National de la Recherche Scientifique (CNRS); Universite Paris Saclay; Cardiff University</t>
  </si>
  <si>
    <t>Venuti, A (corresponding author), Ist Nazl Geofis &amp; Vulcanol, Via Vigna Murata 605, I-00143 Rome, Italy.</t>
  </si>
  <si>
    <t>venuti@ingv.it</t>
  </si>
  <si>
    <t>Florindo, Fabio/AAU-2548-2021; Florindo, Fabio/F-4119-2010; Florindo, Fabio/M-1459-2019; Hall, Ian/C-2755-2009</t>
  </si>
  <si>
    <t>Florindo, Fabio/0000-0002-6058-9748; Florindo, Fabio/0000-0002-6058-9748; Hall, Ian/0000-0001-6960-1419; Venuti, Alessandra/0000-0002-0213-3355</t>
  </si>
  <si>
    <t>JUL 15</t>
  </si>
  <si>
    <t>10.1016/j.epsl.2007.04.032</t>
  </si>
  <si>
    <t>198OP</t>
  </si>
  <si>
    <t>WOS:000248637700010</t>
  </si>
  <si>
    <t>Rumble, D; Miller, MF; Franchi, IA; Greenwood, RC</t>
  </si>
  <si>
    <t>Rumble, D.; Miller, M. F.; Franchi, I. A.; Greenwood, R. C.</t>
  </si>
  <si>
    <t>Oxygen three-isotope fractionation lines in terrestrial silicate minerals: An inter-laboratory comparison of hydrothermal quartz and eclogitic garnet</t>
  </si>
  <si>
    <t>ISOTOPE RATIOS; HIGH-PRECISION; QINGLONGSHAN OXYGEN; JIANGSU-PROVINCE; DELTA-O-17; SYSTEM; OXIDES; LASER; WATER; EARTH</t>
  </si>
  <si>
    <t>Geochemical-and perhaps biochemical-processes may yield tell-tale proxies in rocks and minerals on the Earth or other planetary bodies, in the form of distinctive slopes of linear fractionation arrays on the oxygen three-isotope plot. It is generally recognized that kinetic and equilibrium fractionation processes are described by different mass fractionation laws. We show that coupled laser fluorination, dual-inlet IRMS procedures for oxygen three-isotope analysis of silicates, at high precision, gave reproducible accuracy for the slope value as measured independently by two different laboratories, using replicates of the same silicate samples. As far as we are aware, this is the first such inter-laboratory comparison. Hydrothermal quartz (together with one chalk flint sample) with a range in delta O-18 of 31 parts per thousand gave respective slope lambda values of 0.5240 +/- 0.0010 and 0.5242 +/- 0.0010, using Prism III and MAT 253 mass spectrometers, respectively, at the Open University (OU). Errors were computed from weighted linear regression and are reported at the 95% confidence level. The comparable result obtained at the Geophysical Laboratory (GL), Carnegie Institution of Washington, was 0.5240 +/- 0.0015. A MAT 252 mass spectrometer was used for the latter measurements and the oxygen extraction and purification procedures differed in detail from those used at the OU. In contrast, slopes measured for replicates of seven garnet samples, metamorphosed under high-temperature, high-pressure conditions, and spanning 20 parts per thousand in delta O-18, gave 0.5262 +/- 0.0008 at OU (Prism III analyses) and 0.5266 +/- 0.0012 at GL. (C) 2007 Published by Elsevier Ltd.</t>
  </si>
  <si>
    <t>Carnegie Inst Sci, Geophys Lab, Washington, DC 20005 USA; British Antarctic Survey, Cambridge CB3 0ET, England; Open Univ, Planetary &amp; Space Res Inst, Milton Keynes MK7 6AA, Bucks, England</t>
  </si>
  <si>
    <t>Carnegie Institution for Science; UK Research &amp; Innovation (UKRI); Natural Environment Research Council (NERC); NERC British Antarctic Survey; Open University - UK</t>
  </si>
  <si>
    <t>Rumble, D (corresponding author), Carnegie Inst Sci, Geophys Lab, 5251 Broad Branch Rd,NW, Washington, DC 20005 USA.</t>
  </si>
  <si>
    <t>rumble@gl.ciw.edu</t>
  </si>
  <si>
    <t>Miller, Martin F./AAG-7303-2022; Rumble, Douglas/AAU-3930-2020; Miller, Martin F./AFL-7337-2022</t>
  </si>
  <si>
    <t>Miller, Martin F./0000-0002-7735-0098; Rumble, Douglas/0000-0002-7440-9189; Miller, Martin F./0000-0002-7735-0098; Greenwood, Richard/0000-0002-5544-8027</t>
  </si>
  <si>
    <t>Natural Environment Research Council [bas010013] Funding Source: researchfish; NERC [bas010013] Funding Source: UKRI</t>
  </si>
  <si>
    <t>10.1016/j.gca.2007.05.011</t>
  </si>
  <si>
    <t>192GN</t>
  </si>
  <si>
    <t>WOS:000248188900015</t>
  </si>
  <si>
    <t>Yang, XY; Huang, RX; Wang, DX</t>
  </si>
  <si>
    <t>Yang, Xiao-Yi; Huang, Rui Xin; Wang, Dong Xiao</t>
  </si>
  <si>
    <t>Decadal changes of wind stress over the Southern Ocean associated with Antarctic ozone depletion</t>
  </si>
  <si>
    <t>HEMISPHERE CLIMATE-CHANGE; NCEP-NCAR REANALYSIS; STRATOSPHERIC TEMPERATURE; ATMOSPHERIC CIRCULATION; POTENTIAL VORTICITY; ANNULAR MODES; WAVE ACTIVITY; TROPOSPHERE; TRENDS; VARIABILITY</t>
  </si>
  <si>
    <t>Using 40-yr ECMWF Re-Analysis (ERA-40) data and in situ observations, the positive trend of Southern Ocean surface wind stress during two recent decades is detected, and its close linkage with spring Antarctic ozone depletion is established. The spring Antarctic ozone depletion affects the Southern Hemisphere lower-stratospheric circulation in late spring/early summer. The positive feedback involves the strengthening and cooling of the polar vortex, the enhancement of meridional temperature gradients and the meridional and vertical potential vorticity gradients, the acceleration of the circumpolar westerlies, and the reduction of the upward wave flux. This feedback loop, together with the ozone-related photochemical interaction, leads to the upward tendency of lower-stratospheric zonal wind in austral summer. In addition, the stratosphere-troposphere coupling, facilitated by ozone-related dynamics and the Southern Annular Mode, cooperates to relay the zonal wind anomalies to the upper troposphere. The wave-mean flow interaction and the meridional circulation work together in the form of the Southern Annular Mode, which transfers anomalous wind signals downward to the surface, triggering a striking strengthening of surface wind stress over the Southern Ocean.</t>
  </si>
  <si>
    <t>Chinese Acad Sci, S China Sea Inst Oceanol, Key Lab Trop Marine Environm Dynam, Guangzhou 510301, Peoples R China; Woods Hole Oceanog Inst, Dept Phys Oceanog, Woods Hole, MA 02543 USA</t>
  </si>
  <si>
    <t>Chinese Academy of Sciences; South China Sea Institute of Oceanology, CAS; Woods Hole Oceanographic Institution</t>
  </si>
  <si>
    <t>Yang, XY (corresponding author), Chinese Acad Sci, S China Sea Inst Oceanol, Key Lab Trop Marine Environm Dynam, 164 W Xingang Rd, Guangzhou 510301, Peoples R China.</t>
  </si>
  <si>
    <t>yxy@scsio.ac.cn</t>
  </si>
  <si>
    <t>WANG, DongXiao/0000-0001-8778-2188</t>
  </si>
  <si>
    <t>10.1175/JCLI4195.1</t>
  </si>
  <si>
    <t>196LZ</t>
  </si>
  <si>
    <t>Bronze, Green Published</t>
  </si>
  <si>
    <t>WOS:000248484700004</t>
  </si>
  <si>
    <t>Biscotti, MA; Canapa, A; Olmo, E; Barucca, M</t>
  </si>
  <si>
    <t>Biscotti, Maria Assunta; Canapa, Adriana; Olmo, Ettore; Barucca, Marco</t>
  </si>
  <si>
    <t>Hox genes in the antarctic polyplacophoran Nuttallochiton mirandus</t>
  </si>
  <si>
    <t>JOURNAL OF EXPERIMENTAL ZOOLOGY PART B-MOLECULAR AND DEVELOPMENTAL EVOLUTION</t>
  </si>
  <si>
    <t>PARAHOX GENES; EVOLUTIONARY IMPLICATIONS; GASTROPOD HALIOTIS; LARVAL DEVELOPMENT; HOMEOBOX GENES; EXPRESSION; MOLLUSKS; CLUSTERS</t>
  </si>
  <si>
    <t>Hox genes are conserved across all bilaterians and encode transcription factors involved in the formation of the anteroposterior axis during embryo development. Differences in homeotic gene evolution have been observed not only between deuterostomes and protostomes, but also between the two large protostome clades, Ecdysozoa and Lophotrochozoa. Among lophotrochozoans, the phylum Mollusca displays high diversity of body plans, ranging from the wormlike appearance of aplacophorans to the complex body plan of cephalopods. Using a PCR-based method, we were able to identify eight Hox genes in the polyplacophoran Nuttallochiton mirandus, two orthologous to the anterior class (lab, pb), four to the central class (Ser, Lox5, Antp, Lox2) and two to the posterior class (Post-1, Post-2). Comparison with the results obtained in other molluscs seems to confirm the conservation of Hox genes in this phylum in terms of both presence and characteristics.</t>
  </si>
  <si>
    <t>Univ Politecn Marche, Fac Sci, Ist Biol &amp; Genet, I-60131 Ancona, Italy</t>
  </si>
  <si>
    <t>Marche Polytechnic University</t>
  </si>
  <si>
    <t>Canapa, A (corresponding author), Univ Politecn Marche, Fac Sci, Ist Biol &amp; Genet, Via Brecce Bianche, I-60131 Ancona, Italy.</t>
  </si>
  <si>
    <t>a.canapa@univpm.it</t>
  </si>
  <si>
    <t>WILEY-LISS</t>
  </si>
  <si>
    <t>DIV JOHN WILEY &amp; SONS INC, 111 RIVER ST, HOBOKEN, NJ 07030 USA</t>
  </si>
  <si>
    <t>1552-5007</t>
  </si>
  <si>
    <t>J EXP ZOOL PART B</t>
  </si>
  <si>
    <t>J. Exp. Zool. Part B</t>
  </si>
  <si>
    <t>308B</t>
  </si>
  <si>
    <t>10.1002/jez.b.21177</t>
  </si>
  <si>
    <t>Evolutionary Biology; Developmental Biology; Zoology</t>
  </si>
  <si>
    <t>198QQ</t>
  </si>
  <si>
    <t>WOS:000248643000016</t>
  </si>
  <si>
    <t>Wolff, E; Spahni, R</t>
  </si>
  <si>
    <t>Wolff, Eric; Spahni, Renato</t>
  </si>
  <si>
    <t>Methane and nitrous oxide in the ice core record</t>
  </si>
  <si>
    <t>PHILOSOPHICAL TRANSACTIONS OF THE ROYAL SOCIETY A-MATHEMATICAL PHYSICAL AND ENGINEERING SCIENCES</t>
  </si>
  <si>
    <t>Discussion Meeting on Trace Gas Biogeochemistry and Global Change</t>
  </si>
  <si>
    <t>NOV 13-14, 2006</t>
  </si>
  <si>
    <t>Royal Soc, London, ENGLAND</t>
  </si>
  <si>
    <t>Royal Soc</t>
  </si>
  <si>
    <t>ice cores; methane; nitrous oxide; Quaternary; glacial-interglacial cycles; pre-industrial</t>
  </si>
  <si>
    <t>ATMOSPHERIC CH4 GRADIENT; POLAR ICE; ANTARCTIC ICE; OXYGEN-ISOTOPE; CLIMATE-CHANGE; GREENLAND; AIR; CO2; EMISSIONS; INCREASE</t>
  </si>
  <si>
    <t>Polar ice cores contain, in trapped air bubbles, an archive of the concentrations of stable atmospheric gases. Of the major non-CO2 greenhouse gases, methane is measured quite routinely, while nitrous oxide is more challenging, with some artefacts occurring in the ice and so far limited interpretation. In the recent past, the ice cores provide the only direct measure of the changes that have occurred during the industrial period; they show that the current concentration of methane in the atmosphere is far outside the range experienced in the last 650 000 years; nitrous oxide is also elevated above its natural levels. There is controversy about whether changes in the pre-industrial Holocene are natural or anthropogenic in origin. Changes in wetland emissions are generally cited as the main cause of the large glacial-interglacial change in methane. However, changing sinks must also be considered, and the impact of possible newly described sources evaluated. Recent isotopic data appear to finally rule out any major impact of clathrate releases on methane at these time-scales. Any explanation must take into account that, at the rapid Dansgaard-Oeschger warmings of the last glacial period, methane rose by around half its glacial-interglacial range in only a few decades. The recent EPICA Dome C (Antarctica) record shows that methane tracked climate over the last 650 000 years, with lower methane concentrations in glacials than interglacials, and lower concentrations in cooler interglacials than in warmer ones. Nitrous oxide also shows Dansgaard-Oeschger and glacial-interglacial periodicity, but the pattern is less clear.</t>
  </si>
  <si>
    <t>British Antarctic Survey, Cambridge CB3 0ET, England; Univ Bern, Inst Phys, CH-3012 Bern, Switzerland</t>
  </si>
  <si>
    <t>UK Research &amp; Innovation (UKRI); Natural Environment Research Council (NERC); NERC British Antarctic Survey; University of Bern</t>
  </si>
  <si>
    <t>Wolff, E (corresponding author), British Antarctic Survey, High Cross,Madingley Rd, Cambridge CB3 0ET, England.</t>
  </si>
  <si>
    <t>ewwo@bas.ac.uk</t>
  </si>
  <si>
    <t>Wolff, Eric W/D-7925-2014</t>
  </si>
  <si>
    <t>Wolff, Eric W/0000-0002-5914-8531</t>
  </si>
  <si>
    <t>Natural Environment Research Council [NE/E007600/1, bas010016] Funding Source: researchfish; NERC [bas010016, NE/E007600/1] Funding Source: UKRI</t>
  </si>
  <si>
    <t>1364-503X</t>
  </si>
  <si>
    <t>1471-2962</t>
  </si>
  <si>
    <t>PHILOS T R SOC A</t>
  </si>
  <si>
    <t>Philos. Trans. R. Soc. A-Math. Phys. Eng. Sci.</t>
  </si>
  <si>
    <t>10.1098/rsta.2007.2044</t>
  </si>
  <si>
    <t>186LS</t>
  </si>
  <si>
    <t>WOS:000247780800010</t>
  </si>
  <si>
    <t>Calvo, E; Pelejero, C; De Deckker, P; Logan, GA</t>
  </si>
  <si>
    <t>Calvo, Eva; Pelejero, Carles; De Deckker, Patrick; Logan, Graham A.</t>
  </si>
  <si>
    <t>Antarctic deglacial pattern in a 30 kyr record of sea surface temperature offshore South Australia</t>
  </si>
  <si>
    <t>LAST GLACIAL MAXIMUM; CLIMATE-CHANGE; YOUNGER DRYAS; PACIFIC-OCEAN; SOUTHEASTERN AUSTRALIA; LATE PLEISTOCENE; NEW-ZEALAND; ICE CORE; HOLOCENE; HEMISPHERE</t>
  </si>
  <si>
    <t>Comparison of ice cores from Greenland and Antarctica shows an asynchronous two-step warming at these high latitudes during the Last Termination. However, the question whether this asynchrony extends to lower latitudes is unclear mainly due to the scarcity of paleorecords from the Southern Hemisphere. New data from a marine core collected off South Australia (similar to 36 degrees S) allows a detailed reconstruction of sea-surface temperatures over the Last Termination. This confirms the existence of an Antarctic-type deglacial pattern and shows no indication of cooling associated with the Northern Hemisphere YD event. The SST record also provides a new comparison with the more extensive paleoclimatic data available from continental Australia. This shows a strong climatic link between onshore and offshore records for Australia and to Southern Hemisphere paleorecords. We also show a progressive SST drop over the last similar to 6.5 kyr not seen before for the Australian region.</t>
  </si>
  <si>
    <t>Inst Ciencias Mar, Consejo Super Invest Cient, E-08003 Barcelona, Spain; Inst Catalana Recerca &amp; Estudis Avancats, E-08003 Barcelona, Spain; Australian Natl Univ, Dept Earth &amp; Marine Sci, Canberra, ACT 0200, Australia; Geosci Australia, Petr &amp; Marine Div, Canberra, ACT 2601, Australia</t>
  </si>
  <si>
    <t>Consejo Superior de Investigaciones Cientificas (CSIC); CSIC - Centro Mediterraneo de Investigaciones Marinas y Ambientales (CMIMA); CSIC - Instituto de Ciencias del Mar (ICM); ICREA; Australian National University; Geoscience Australia</t>
  </si>
  <si>
    <t>Calvo, E (corresponding author), Inst Ciencias Mar, Consejo Super Invest Cient, Pg Maritim Barceloneta 37-49, E-08003 Barcelona, Spain.</t>
  </si>
  <si>
    <t>ecalvo@icm.cat</t>
  </si>
  <si>
    <t>Pelejero, Carles/AAF-4550-2019; Calvo, Eva/C-2618-2014</t>
  </si>
  <si>
    <t>Pelejero, Carles/0000-0002-7763-7769; Calvo, Eva/0000-0003-3659-4499</t>
  </si>
  <si>
    <t>ICREA Funding Source: Custom</t>
  </si>
  <si>
    <t>ICREA(ICREA)</t>
  </si>
  <si>
    <t>JUL 14</t>
  </si>
  <si>
    <t>L13707</t>
  </si>
  <si>
    <t>10.1029/2007GL029937</t>
  </si>
  <si>
    <t>189YN</t>
  </si>
  <si>
    <t>WOS:000248024800004</t>
  </si>
  <si>
    <t>Ridgway, KR; Dunn, JR</t>
  </si>
  <si>
    <t>Ridgway, K. R.; Dunn, J. R.</t>
  </si>
  <si>
    <t>Observational evidence for a Southern Hemisphere oceanic supergyre</t>
  </si>
  <si>
    <t>EAST AUSTRALIAN CURRENT; ANTARCTIC CIRCUMPOLAR CURRENT; TOTAL GEOSTROPHIC CIRCULATION; INDIAN-OCEAN; INTERMEDIATE WATER; SOUTHWEST PACIFIC; SUBTROPICAL GYRE; CURRENT SYSTEM; FLOW PATTERNS; TRANSPORTS</t>
  </si>
  <si>
    <t>A high-resolution hydrographic atlas resolves the narrow boundary flow of the western Pacific gyre and its pathway around Tasmania, southern Australia and into the Indian Ocean basin. This confirms recent model descriptions of a Southern Hemisphere 'supergyre', a nested system of subtropical gyres. The observations show that the gyre flow is squeezed into a narrow band between Tasmania and the Antarctic Circumpolar Current. The residue of East Australian Current transport turns westward around Tasmania and 'leaks' into the Indian Ocean. While there is also a limited form of gyre connection between the Indian and Atlantic systems south of Africa, with a mean outflow of Agulhas Current water into the Atlantic basin, these gyre circulations remain far more discrete. The gyre coupling and the East Australian Current in particular, provide the mechanism by which Sub Antarctic Mode Water and Antarctic Intermediate Water are distributed between the ocean basins.</t>
  </si>
  <si>
    <t>CSIRO, Marine &amp; Atmospher Res &amp; Wealth Oceans Flagship, Hobart, Tas 7001, Australia</t>
  </si>
  <si>
    <t>Ridgway, KR (corresponding author), CSIRO, Marine &amp; Atmospher Res &amp; Wealth Oceans Flagship, Hobart, Tas 7001, Australia.</t>
  </si>
  <si>
    <t>ken.ridgway@csiro.au</t>
  </si>
  <si>
    <t>Ridgway, Ken/AAA-4040-2019</t>
  </si>
  <si>
    <t>Ridgway, Ken/0000-0002-5861-1360</t>
  </si>
  <si>
    <t>L13612</t>
  </si>
  <si>
    <t>10.1029/2007GL030392</t>
  </si>
  <si>
    <t>WOS:000248024800007</t>
  </si>
  <si>
    <t>Schoof, C</t>
  </si>
  <si>
    <t>Schoof, Christian</t>
  </si>
  <si>
    <t>Ice sheet grounding line dynamics: Steady states, stability, and hysteresis</t>
  </si>
  <si>
    <t>PINE ISLAND; SHELF; RETREAT; GLACIERS; MODEL; ACCELERATION; SENSITIVITY; DISCHARGE; FLOW</t>
  </si>
  <si>
    <t>The ice sheet-ice shelf transition zone plays an important role in controlling marine ice sheet dynamics, as it determines the rate at which ice flows out of the grounded part of the ice sheet. Together with accumulation, this outflow is the main control on the mass balance of the grounded sheet. In this paper, we verify the results of a boundary layer theory for ice flux in the transition zone against numerical solutions that are able to resolve the transition zone. Very close agreement is obtained, and grid refinement in the transition zone is identified as a critical component in obtaining reliable numerical results. The boundary layer theory confirms that ice flux through the grounding line in a two- dimensional sheet- shelf system increases sharply with ice thickness at the grounding line. This result is then applied to the large- scale dynamics of a marine ice sheet. Our principal results are that ( 1) marine ice sheets do not exhibit neutral equilibrium but have well- defined, discrete equilibrium profiles; ( 2) steady grounding lines cannot be stable on reverse bed slopes; and ( 3) marine ice sheets with overdeepened beds can undergo hysteresis under variations in sea level, accumulation rate, basal slipperiness, and ice viscosity. This hysteretic behavior can in principle explain the retreat of the West Antarctic ice sheet following the Last Glacial Maximum and may play a role in the dynamics of Heinrich events.</t>
  </si>
  <si>
    <t>Univ British Columbia, Dept Earth &amp; Ocean Sci, Vancouver, BC V6T 1Z4, Canada</t>
  </si>
  <si>
    <t>University of British Columbia</t>
  </si>
  <si>
    <t>Schoof, C (corresponding author), Univ British Columbia, Dept Earth &amp; Ocean Sci, 6339 Stores Rd, Vancouver, BC V6T 1Z4, Canada.</t>
  </si>
  <si>
    <t>Schoof, Christian/A-8587-2013</t>
  </si>
  <si>
    <t>F03S28</t>
  </si>
  <si>
    <t>10.1029/2006JF000664</t>
  </si>
  <si>
    <t>190BA</t>
  </si>
  <si>
    <t>WOS:000248031500003</t>
  </si>
  <si>
    <t>Thomson, NR; Clilverd, MA; Mcrae, WM</t>
  </si>
  <si>
    <t>Thomson, Neil R.; Clilverd, Mark A.; McRae, Wayne M.</t>
  </si>
  <si>
    <t>Nighttime ionospheric D region parameters from VLF phase and amplitude</t>
  </si>
  <si>
    <t>IONS; ENHANCEMENTS; PROPAGATION; SUNRISE; MODEL</t>
  </si>
  <si>
    <t>[1] Nighttime ionospheric D region heights and electron densities are determined from an extensive set of VLF radio phase and amplitude observations. The D region parameters are characterized by the traditional H' (height in kilometers) and beta ( sharpness in km(-1)) as used by Wait and by the U. S. Navy in their Earth-ionosphere waveguide programs. The VLF measurements were made with several frequencies in the range 10 kHz to 41 kHz on long, mainly all-sea paths, including Omega La Reunion and Omega Argentina to Dunedin, New Zealand, NAU (Puerto Rico) and NAA (Maine, USA) to Cambridge, UK, and NPM (Hawaii) to San Francisco. Because daytime VLF propagation on such paths is readily measured and predicted, the differences between night and day amplitudes and phases were measured and compared with calculations for a range of nighttime ionospheric parameters. This avoided the problem of uncertainties in the transmitter powers. In this way the height, H', and the sharpness, b, when averaged over periods of several days, at least for the midlatitude D region near solar minimum, were found to be 85.1 +/- 0.4 km and 0.63 +/- 0.04 km(-1), respectively.</t>
  </si>
  <si>
    <t>British Antarctic Survey, NERC, Div Phys Sci, Cambridge CB3 0ET, England; Univ Western Australia, Gravitec Instruments Pty Ltd, Sch Phys, Crawley, WA 6009, Australia; Univ Otago, Dept Phys, Dunedin 9054, New Zealand</t>
  </si>
  <si>
    <t>UK Research &amp; Innovation (UKRI); Natural Environment Research Council (NERC); NERC British Antarctic Survey; University of Western Australia; University of Otago</t>
  </si>
  <si>
    <t>Thomson, NR (corresponding author), British Antarctic Survey, NERC, Div Phys Sci, Madingley Rd, Cambridge CB3 0ET, England.</t>
  </si>
  <si>
    <t>n_thomson@physics.otago.ac.nz</t>
  </si>
  <si>
    <t>A7</t>
  </si>
  <si>
    <t>A07304</t>
  </si>
  <si>
    <t>10.1029/2007JA012271</t>
  </si>
  <si>
    <t>190CZ</t>
  </si>
  <si>
    <t>Green Accepted, Green Submitted</t>
  </si>
  <si>
    <t>WOS:000248036900002</t>
  </si>
  <si>
    <t>Hayward, BW; Kawagata, S; Grenfell, HR; Sabaa, AT; O'Neill, T</t>
  </si>
  <si>
    <t>Hayward, Bruce W.; Kawagata, Shungo; Grenfell, Hugh R.; Sabaa, Ashwaq T.; O'Neill, Tanya</t>
  </si>
  <si>
    <t>Last global extinction in the deep sea during the mid-Pleistocene climate transition</t>
  </si>
  <si>
    <t>SOUTH CHINA SEA; BENTHIC FORAMINIFERA; EQUATORIAL PACIFIC; PALEOCEANOGRAPHIC EVOLUTION; CIRCULATION CHANGES; LATE PLIOCENE; ASH LAYER; OCEAN; WATER; MA</t>
  </si>
  <si>
    <t>Twenty percent (19 genera, 95 species) of cosmopolitan, deep-sea (500-4000 m), benthic foraminiferal species became extinct during the late Pliocene-Middle Pleistocene (3-0.12 Ma), with the peak of extinctions (76 species) occurring during the mid-Pleistocene Climate Transition (MPT, 1.2-0.55 Ma). One whole family (Stilostomellidae, 30 species) was wiped out, and a second (Pleurostomellidae, 29 species) was decimated with just one species possibly surviving through to the present. Our studies at 21 deep-sea core sites show widespread pulsed declines in abundance and diversity of the extinction group species during more extreme glacials, with partial interglacial recoveries. These declines started in the late Pliocene in southern sourced deep water masses (Antarctic Bottom Water, Circumpolar Deep Water) and extending into intermediate waters (Antarctic Intermediate Water, North Atlantic Deep Water) in the MPT, with the youngest declines in sites farthest downstream from high-latitude source areas for intermediate waters. We infer that the unusual apertural types that were targeted by this extinction period were adaptations for a specific kind of food source and that it was probably the demise of this microbial food that resulted in the foraminiferal extinctions. We hypothesize that it may have been increased cold and oxygenation of the southern sourced deep water masses that impacted on this deep water microbial food source during major late Pliocene and Early Pleistocene glacials when Antarctic ice was substantially expanded. The food source in intermediate water was not impacted until major glacials in the MPT when there were significant expansion of polar sea ice in both hemispheres and major changes in the source areas, temperature, and oxygenation of global intermediate waters.</t>
  </si>
  <si>
    <t>Geomarine Res, Auckland, New Zealand; Massey Univ, Dept Earth Sci, Palmerston North, New Zealand</t>
  </si>
  <si>
    <t>Massey University</t>
  </si>
  <si>
    <t>Hayward, BW (corresponding author), Geomarine Res, 49 Swainston Rd, Auckland, New Zealand.</t>
  </si>
  <si>
    <t>O'Neill, Tanya/AAD-3240-2020; HAYWARD, BRUCE W/AAG-2597-2019; O'Neill, Tanya/I-3045-2017</t>
  </si>
  <si>
    <t>O'Neill, Tanya/0000-0001-8181-4249; Hayward, Bruce W./0000-0003-1302-7686; Kawagata, Shungo/0000-0001-6147-9690</t>
  </si>
  <si>
    <t>PA3103</t>
  </si>
  <si>
    <t>10.1029/2007PA001424</t>
  </si>
  <si>
    <t>190DF</t>
  </si>
  <si>
    <t>WOS:000248037500002</t>
  </si>
  <si>
    <t>Marsland, SJ; Church, JA; Bindoff, NL; Williams, GD</t>
  </si>
  <si>
    <t>Marsland, S. J.; Church, J. A.; Bindoff, N. L.; Williams, G. D.</t>
  </si>
  <si>
    <t>Antarctic coastal polynya response to climate change</t>
  </si>
  <si>
    <t>MERTZ GLACIER POLYNYA; SEA-SURFACE TEMPERATURE; ICE-OCEAN MODEL; EAST ANTARCTICA; SOUTHERN-OCEAN; NORTH-ATLANTIC; BOTTOM WATER; THERMOHALINE CIRCULATION; ADELIE DEPRESSION; DEEP-OCEAN</t>
  </si>
  <si>
    <t>[1] Sensitivity of sea ice formation and dense shelf water production to perturbations of air temperature, precipitation, and wind stress in an important Antarctic coastal polynya system is investigated. Shelf water formation in the Mertz Glacier Polynya is a major source of Adelie Land Bottom Water. Coupled ocean and sea ice model simulations for 1996-1999 span a transitional period of the system: The 1996-1997 strong polynya state is characterized by high sea ice growth and export, ocean to atmosphere heat flux, shelf water density, and rate of dense water export; in the 1998-1999 weak polynya state all these quantities are greatly reduced. The 1990s interannual variability in air temperature and precipitation is of similar magnitude to future increases as projected for the Southern Ocean by the IPCC assessment. We model the polynya with perturbed climate change forcing and find that the system shows a reduction in shelf water export in both the strong/weak modes. Overall, the dense water export is reduced by 40% for a 2 degrees C surface warming, and by 33% for a 20 cm a(-1) precipitation increase. In the weak polynya state that is more likely in future climate, shelf water export is reduced by 81% for the warming and by 65% for the freshening. The reduction in dense shelf water export implies a corresponding reduction in Antarctic Bottom Water formation.</t>
  </si>
  <si>
    <t>CSIRO, Hobart, Tas 7001, Australia; Antarctic Climate &amp; Ecosyst Cooperat Res Ctr, Hobart, Tas 7001, Australia</t>
  </si>
  <si>
    <t>Commonwealth Scientific &amp; Industrial Research Organisation (CSIRO); Antarctic Climate &amp; Ecosystems Cooperative Research Centre (ACE CRC)</t>
  </si>
  <si>
    <t>Marsland, SJ (corresponding author), CSIRO, Private Bag 1, Mordialloc, Vic 3195, Australia.</t>
  </si>
  <si>
    <t>simon.marsland@csiro.au; john.church@csiro.au; n.bindoff@utas.edu.au; guy.williams@acecrc.org.au</t>
  </si>
  <si>
    <t>Bindoff, Nathaniel Lee/IVV-0333-2023; Marsland, Simon J/A-1453-2012; Bindoff, Nathaniel Lee/C-8050-2011; Church, John A/A-1541-2012</t>
  </si>
  <si>
    <t>Bindoff, Nathaniel Lee/0000-0001-5662-9519; Marsland, Simon J/0000-0002-5664-5276; Bindoff, Nathaniel Lee/0000-0001-5662-9519; Church, John A/0000-0002-7037-8194</t>
  </si>
  <si>
    <t>JUL 7</t>
  </si>
  <si>
    <t>C07009</t>
  </si>
  <si>
    <t>10.1029/2005JC003291</t>
  </si>
  <si>
    <t>187XL</t>
  </si>
  <si>
    <t>WOS:000247882400001</t>
  </si>
  <si>
    <t>Lukianova, R</t>
  </si>
  <si>
    <t>Lukianova, Renata</t>
  </si>
  <si>
    <t>Comment on Unified PCN and PCS indices: Method of calculation, physical sense, and dependence on the IMF azimuthal and northward components by O. Troshichev, A. Janzhura, and P. Stauning</t>
  </si>
  <si>
    <t>POLAR-CAP INDEX; MAGNETIC ACTIVITY; DYNAMIC PRESSURE</t>
  </si>
  <si>
    <t>Arctic &amp; Antarctic Res Inst, St Petersburg 199397, Russia</t>
  </si>
  <si>
    <t>Lukianova, R (corresponding author), Arctic &amp; Antarctic Res Inst, 38 Bering St, St Petersburg 199397, Russia.</t>
  </si>
  <si>
    <t>renata@aari.nw.ru</t>
  </si>
  <si>
    <t>Lukianova, Renata/K-3293-2012</t>
  </si>
  <si>
    <t>Lukianova, Renata/0000-0003-2343-9174</t>
  </si>
  <si>
    <t>A07204</t>
  </si>
  <si>
    <t>10.1029/2006JA011950</t>
  </si>
  <si>
    <t>187YG</t>
  </si>
  <si>
    <t>WOS:000247884600001</t>
  </si>
  <si>
    <t>Rodger, CJ; Clilverd, MA; Nunn, D; Verronen, PT; Bortnik, J; Turunen, E</t>
  </si>
  <si>
    <t>Rodger, Craig J.; Clilverd, Mark A.; Nunn, David; Verronen, Pekka T.; Bortnik, Jacob; Turunen, Esa</t>
  </si>
  <si>
    <t>Storm time, short-lived bursts of relativistic electron precipitation detected by subionospheric radio wave propagation</t>
  </si>
  <si>
    <t>RADIATION BELT; ACCELERATION; MICROBURSTS; LOSSES; SAMPEX</t>
  </si>
  <si>
    <t>[1] In this study we report on ground-based observations of short bursts of relativistic electron precipitation (REP), detected by a subionospheric propagation sensor in Sodankyla, Finland during 2005. In two similar to 4 hour case study periods from L = 5.2, around local midnight, several hundred short-lived radio wave perturbations were observed, covering a wide range of arrival azimuths. The vast majority (similar to 99%) of these perturbations were not simultaneous with perturbations on other paths, consistent with a precipitation rainstorm'' producing ionospheric changes of small spatial sizes around the Sodankyla receiver. The recovery time of these radio wave perturbations are similar to 1.2 s, which is consistent with the modeled effects of a burst of &gt;2 MeV precipitating electrons. This agrees with satellite observations of the microburst energy spectrum. The energetic nature of the precipitation which produces the FAST perturbations suggests that they should be observable in both day and night conditions. While it is widely assumed that satellite-detected REP microbursts are due to wave-particle interactions with very low-frequency chorus waves, the energy spectra predicted by our current models of chorus propagation and wave-particle interaction are not consistent with the experimentally observed radio wave perturbations presented here or previously reported satellite observations of REP microbursts. The results inferred from both the satellite and subionospheric observations, namely the absence of a large, dominant component of &lt;100 keV precipitating electrons, fundamentally disagrees with a mechanism of chorus-driven precipitation. Nonetheless, further work on the modeling of chorus-driven precipitation is required.</t>
  </si>
  <si>
    <t>Univ Otago, Dept Phys, Dunedin, New Zealand; Univ Oulu, Sodankyla Geophys Observ, FIN-99600 Sodankyla, Finland; Finnish Meteorol Inst, Earth Observ, FIN-00101 Helsinki, Finland; Univ Calif Los Angeles, Dept Atmospher &amp; Ocean Sci, Los Angeles, CA 90095 USA; British Antarctic Survey, Div Phys Sci, Cambridge CB3 0ET, England; Univ Southampton, Sch Elect &amp; Comp Sci, Southampton S917 1BJ, Hants, England</t>
  </si>
  <si>
    <t>University of Otago; University of Oulu; Finnish Meteorological Institute; University of California System; University of California Los Angeles; UK Research &amp; Innovation (UKRI); Natural Environment Research Council (NERC); NERC British Antarctic Survey; University of Southampton</t>
  </si>
  <si>
    <t>Rodger, CJ (corresponding author), Univ Otago, Dept Phys, POB 56, Dunedin, New Zealand.</t>
  </si>
  <si>
    <t>crodger@physics.otago.ac.nz</t>
  </si>
  <si>
    <t>Verronen, P. T./0000-0002-3479-9071; Turunen, Esa/0000-0001-8232-8744; Rodger, Craig J./0000-0002-6770-2707</t>
  </si>
  <si>
    <t>A07301</t>
  </si>
  <si>
    <t>10.1029/2007JA012347,</t>
  </si>
  <si>
    <t>WOS:000247884600009</t>
  </si>
  <si>
    <t>Troshichev, O; Janzhura, A; Stauning, P</t>
  </si>
  <si>
    <t>Troshichev, Oleg; Janzhura, Alexander; Stauning, Peter</t>
  </si>
  <si>
    <t>Reply to comment by R. Lukianova on Unified PCN and PCS indices: Method of calculation, physical sense, dependence on the IMF azimuthal and northward components</t>
  </si>
  <si>
    <t>POLAR-CAP; MAGNETIC ACTIVITY</t>
  </si>
  <si>
    <t>Arctic &amp; Antarctic Res Inst, Dept Geophys, St Petersburg 199397, Russia; Danish Meteorol Inst, Copenhagen, Denmark</t>
  </si>
  <si>
    <t>Arctic &amp; Antarctic Research Institute; Danish Meteorological Institute DMI</t>
  </si>
  <si>
    <t>Troshichev, O (corresponding author), Arctic &amp; Antarctic Res Inst, Dept Geophys, Bering St 38, St Petersburg 199397, Russia.</t>
  </si>
  <si>
    <t>olegtro@aari.nw.ru</t>
  </si>
  <si>
    <t>A07205</t>
  </si>
  <si>
    <t>10.1029/2006JA012029</t>
  </si>
  <si>
    <t>WOS:000247884600002</t>
  </si>
  <si>
    <t>Crosta, X; Beucher, C; Pahnke, K; Brzezinski, MA</t>
  </si>
  <si>
    <t>Crosta, X.; Beucher, C.; Pahnke, K.; Brzezinski, M. A.</t>
  </si>
  <si>
    <t>Silicic acid leakage from the Southern Ocean: Opposing effects of nutrient uptake and oceanic circulation</t>
  </si>
  <si>
    <t>LAST GLACIAL MAXIMUM; WATER MASS CONVERSION; ANTARCTIC MODE; THERMOCLINE; CLIMATE; NORTH; SEA; VARIABILITY; PUMP</t>
  </si>
  <si>
    <t>[1] Studies invoking the silicic acid leakage hypothesis to explain events of high biogenic opal deposition at low latitudes did not consider variations in formation rate of Southern Ocean intermediate waters. Comparison of delta Si-30 records from the Southern Ocean to records of biogenic opal accumulation from low-latitude upwelling systems indicates a strong negative correlation between the silicic acid content of Southern Ocean surface waters and opal deposition at low latitudes during the last 80 kyr BP. This implies that Si leakage was somehow rendered ineffective when the silicic acid content of Southern Ocean waters was high. Comparison of opal accumulation records with records of intermediate water formation rates suggests that lower rates of intermediate water formation offset the higher silicic acid content of these water masses during glacial periods. This indicates that physical processes that control intermediate water transport dominate over biological processes that set the silicic acid content of Antarctic surface waters in determining the magnitude of silicic acid leakage from the Southern Ocean.</t>
  </si>
  <si>
    <t>EPOC, UMR 5805, F-33405 Talence, France; Univ Calif Santa Barbara, Inst Marine Sci, Santa Barbara, CA 93106 USA; Columbia Univ, Lamont Doherty Geol Observ, Palisades, NY 10964 USA; Univ Calif Santa Barbara, Dept Ecol Evolut &amp; Marine Biol, Santa Barbara, CA 93106 USA</t>
  </si>
  <si>
    <t>Centre National de la Recherche Scientifique (CNRS); CNRS - National Institute for Earth Sciences &amp; Astronomy (INSU); University of California System; University of California Santa Barbara; Columbia University; University of California System; University of California Santa Barbara</t>
  </si>
  <si>
    <t>Crosta, X (corresponding author), EPOC, UMR 5805, F-33405 Talence, France.</t>
  </si>
  <si>
    <t>x.crosta@epoc.u-bordeaux1.fr</t>
  </si>
  <si>
    <t>Pahnke, Katharina/0000-0001-9114-8411</t>
  </si>
  <si>
    <t>JUL 3</t>
  </si>
  <si>
    <t>L13601</t>
  </si>
  <si>
    <t>10.1029/2006GL029083</t>
  </si>
  <si>
    <t>187WL</t>
  </si>
  <si>
    <t>WOS:000247879700001</t>
  </si>
  <si>
    <t>Cieslinski, H; Bialkowska, AM; Dlugolecka, A; Daroch, M; Tkaczuk, KL; Kalinowska, H; Kur, J; Turkiewicz, M</t>
  </si>
  <si>
    <t>Cieslinski, Hubert; Bialkowska, Aneta M.; Dlugolecka, Anna; Daroch, Maurycy; Tkaczuk, Karolina L.; Kalinowska, Halina; Kur, Jozef; Turkiewicz, Marianna</t>
  </si>
  <si>
    <t>A cold-adapted esterase from psychrotrophic Pseudoalteromas sp strain 643A</t>
  </si>
  <si>
    <t>ARCHIVES OF MICROBIOLOGY</t>
  </si>
  <si>
    <t>cold-adapted enzyme; psychrotolerant bacterium; esterases; lipases; GDSL esterase; cloning</t>
  </si>
  <si>
    <t>DISC ELECTROPHORESIS; MICROBIAL LIPASES; ACTIVE ESTERASE; THIOESTERASE-I; GENE CLONING; BIOTECHNOLOGY; PURIFICATION; PREDICTION; PROTEINS; FAMILY</t>
  </si>
  <si>
    <t>A psychrotrophic bacterium producing a cold-adapted esterase upon growth at low temperatures was isolated from the alimentary tract of Antarctic krill Euphasia superba Dana, and classified as Pseudoalteromonas sp. strain 643A. A genomic DNA library of strain 643A was introduced into Escherichia coli TOP10F', and screening on tributyrin-containing agar plates led to the isolation of esterase gene. The esterase gene (estA, 621 bp) encoded a protein (EstA) of 207 amino acid residues with molecular mass of 23,036 Da. Analysis of the amino acid sequence of EstA suggests that it is a member of the GDSL-lipolytic enzymes family. The purification and characterization of native EstA esterase were performed. The enzyme displayed 20-50% of maximum activity at 0-20 degrees C. The optimal temperature for EstA was 35 degrees C. EstA was stable between pH 9 and 11.5. The enzyme showed activity for esters of short- to medium-chain (C-4 and C-10) fatty acids, and exhibited no activity for long-chain fatty acid esters like that of palmitate and stearate. EstA was strongly inhibited by phenylmethylsulfonyl fluoride, 2-mercaptoethanol, dithiothreitol and glutathione. Addition of selected divalent ions e.g. Mg2+, Co2+ and Cu2+ led to the reduction of enzymatic activity and the enzyme was slightly activated (similar to 30%) by Ca2+ ions.</t>
  </si>
  <si>
    <t>Gdansk Univ Technol, Dept Microbiol, PL-80952 Gdansk, Poland; Tech Univ Lodz, Inst Tech Biochem, PL-90924 Lodz, Poland; Int Inst Mol &amp; Cell Biol, Lab Bioinformat &amp; Protein Engn, PL-02109 Warsaw, Poland</t>
  </si>
  <si>
    <t>Fahrenheit Universities; Gdansk University of Technology; Lodz University of Technology; Miedzynarodowy Instytut Biologii Molekularnej i Komorkowej</t>
  </si>
  <si>
    <t>Kur, J (corresponding author), Gdansk Univ Technol, Dept Microbiol, Ul Narutowicza 11-12, PL-80952 Gdansk, Poland.</t>
  </si>
  <si>
    <t>kur@chem.pg.gda.pl</t>
  </si>
  <si>
    <t>Daroch, Maurycy/GPS-6211-2022; Ziemka, Agnieszka/AAT-3560-2021; Daroch, Maurycy/AAM-7825-2021; Białkowska, Aneta/P-4481-2019</t>
  </si>
  <si>
    <t>Daroch, Maurycy/0000-0002-8183-8854; Daroch, Maurycy/0000-0002-8183-8854; Białkowska, Aneta/0000-0001-7319-238X; Kalinowska, Halina/0000-0001-8902-0005; Cieslinski, Hubert/0000-0003-0573-0830; , Hubert/0000-0002-3504-2257</t>
  </si>
  <si>
    <t>0302-8933</t>
  </si>
  <si>
    <t>1432-072X</t>
  </si>
  <si>
    <t>ARCH MICROBIOL</t>
  </si>
  <si>
    <t>Arch. Microbiol.</t>
  </si>
  <si>
    <t>JUL</t>
  </si>
  <si>
    <t>10.1007/s00203-007-0220-2</t>
  </si>
  <si>
    <t>178RN</t>
  </si>
  <si>
    <t>WOS:000247237900003</t>
  </si>
  <si>
    <t>Zhu, RB; Liu, YS; Sun, LG; Xu, H</t>
  </si>
  <si>
    <t>Zhu, Renbin; Liu, Yashu; Sun, Liguang; Xu, Hua</t>
  </si>
  <si>
    <t>Methane emissions from two tundra wetlands in eastern Antarctica</t>
  </si>
  <si>
    <t>methane flux; natural wetlands; Antarctica; temporal variation; spatial variation; water table</t>
  </si>
  <si>
    <t>WATER-TABLE; SPATIAL VARIATION; VASCULAR PLANTS; NITROUS-OXIDE; FLUX; PEATLANDS; SNOWPACK; ALASKA; LAKES; SOIL</t>
  </si>
  <si>
    <t>During the summertime of 2005/2006 net methane (CH4) fluxes and environmental variables were investigated in two tundra wetlands Wolong Marsh and Tuanjie Marsh of eastern Antarctica, using the closed chamber technique. At Wolong Marsh, the measurements were made at four wet tundra sites, four mesic tundra sites, and two dry sites. CH4 flux for wet tundra sites averaged 163.4 mu g m(-2) h(-1) and for the mesic sites 132.4 mu g m(-2) h(-1). For the dry sites, all the CH4 fluxes showed the negative values with an average of -99.9 mu g m(-2) h(-1). At Tuanjie Marsh, flux measurements were made at two open ponds, two shallow fens and two dry sites. The average CH4 flux for the pond sites was 170.4 mu g m(-2) h(-1) and for the fen sites 134.7 mu g m(-2) h(-1). For the dry sites CH4 fluxes were approximately one order of magnitude lower than those for pond and fen sites and averaged 18.4 mu m(-2) h(-1). Spatial variations in CH4 flux were primarily driven by the water table position at two tundra wetlands, whereas temporal variations in CH4 flux from wet and mesic sites were related with the thermal regime of tundra soil layers. The fluxes from six observation sites showed a consistent diurnal cycle with the peak at 14:00 and the lowest at 2:00 (local time), which was correlated with ground temperature at the depth of 0-10cm. The CH4 emissions from coastal wetlands could constitute an important part of the annual CH4 budget for Antarctic tundra ecosystems. (C) 2007 Elsevier Ltd. All rights reserved.</t>
  </si>
  <si>
    <t>Univ Sci &amp; Technol China, Inst Polar Inst, Hefei 230026, Peoples R China; Chinese Acad Sci, Inst Soil Sci, State Key Lab Soil &amp; Sustainable Agr, Nanjing 210008, Peoples R China</t>
  </si>
  <si>
    <t>Chinese Academy of Sciences; University of Science &amp; Technology of China, CAS; Chinese Academy of Sciences; Nanjing Institute of Soil Science, CAS</t>
  </si>
  <si>
    <t>Zhu, RB (corresponding author), Univ Sci &amp; Technol China, Inst Polar Inst, Hefei 230026, Peoples R China.</t>
  </si>
  <si>
    <t>zhurb@ustc.edu.cn</t>
  </si>
  <si>
    <t>10.1016/j.atmosenv.2007.03.030</t>
  </si>
  <si>
    <t>186HG</t>
  </si>
  <si>
    <t>WOS:000247769100013</t>
  </si>
  <si>
    <t>Galperin, B; Sukoriansky, S; Anderson, PS</t>
  </si>
  <si>
    <t>Galperin, Boris; Sukoriansky, Semion; Anderson, Philip S.</t>
  </si>
  <si>
    <t>On the critical Richardson number in stably stratified turbulence</t>
  </si>
  <si>
    <t>ATMOSPHERIC SCIENCE LETTERS</t>
  </si>
  <si>
    <t>turbulence; stable stratification; critical Richardson number</t>
  </si>
  <si>
    <t>SURFACE-LAYERS; BOUNDARY-LAYER; ROTATING STARS; CLOSURE-MODEL; GRAVITY-WAVES; MIXED-LAYER; SHEAR-LAYER; FLOWS; STABILITY; DIFFUSION</t>
  </si>
  <si>
    <t>The critical Richardson number, Ri(c), is used in studies of stably stratified turbulence as a measure of flow laminarization. The accepted range of Ri(c) is between 0.2 and 1. A growing body of experimental and observational data indicates, however, that turbulence survives for Ri &gt;&gt; 1. This result is supported by a new spectral theory of turbulence that accounts for strong anisotropy and waves. The anisotropization results in the enhanced horizontal mixing of both momentum and scalar. Internal wave contribution preserves vertical momentum mixing above its molecular level. In the absence of laminarization, Ri(c) becomes devoid of its conventional meaning. Copyright (C) 2007 Royal Meteorological Society</t>
  </si>
  <si>
    <t>[Galperin, Boris] Univ S Florida, Coll Marine Sci, St Petersburg, FL 33701 USA; [Sukoriansky, Semion] Ben Gurion Univ Negev, Dept Mech Engn, Perlstone Ctr Aeronaut Engn Studies, IL-84105 Beer Sheva, Israel; [Anderson, Philip S.] British Antarctic Survey, Antarctic Climate &amp; Earth Syst Programme, Cambridge CB3 0ET, England</t>
  </si>
  <si>
    <t>State University System of Florida; University of South Florida; Ben Gurion University; UK Research &amp; Innovation (UKRI); Natural Environment Research Council (NERC); NERC British Antarctic Survey</t>
  </si>
  <si>
    <t>Galperin, B (corresponding author), Univ S Florida, Coll Marine Sci, St Petersburg, FL 33701 USA.</t>
  </si>
  <si>
    <t>bgalperin@marine.usf.edu</t>
  </si>
  <si>
    <t>Sukoriansky, Semion/F-1260-2012</t>
  </si>
  <si>
    <t>Sukoriansky, Semion/0000-0002-8031-9120</t>
  </si>
  <si>
    <t>ARO [W911NF-05-1-0055]; Israel Science Foundation [134/03]</t>
  </si>
  <si>
    <t>ARO; Israel Science Foundation(Israel Science Foundation)</t>
  </si>
  <si>
    <t>The authors are grateful to Peter Read, Jack Herring and Walter Bach for stimulating discussions during the course of this study and to two anonymous reviewers for constructive comments. Partial support of this research by the ARO grant W911NF-05-1-0055 and the Israel Science Foundation grant No. 134/03 is gratefully appreciated.</t>
  </si>
  <si>
    <t>WILEY-BLACKWELL</t>
  </si>
  <si>
    <t>1530-261X</t>
  </si>
  <si>
    <t>ATMOS SCI LETT</t>
  </si>
  <si>
    <t>Atmos. Sci. Lett.</t>
  </si>
  <si>
    <t>JUL-SEP</t>
  </si>
  <si>
    <t>10.1002/asl.153</t>
  </si>
  <si>
    <t>Geochemistry &amp; Geophysics; Meteorology &amp; Atmospheric Sciences</t>
  </si>
  <si>
    <t>V19DM</t>
  </si>
  <si>
    <t>WOS:000208053100001</t>
  </si>
  <si>
    <t>Collis, C</t>
  </si>
  <si>
    <t>Collis, Christy</t>
  </si>
  <si>
    <t>Mawson and Mirnyy Stations: The spatiality of the Australian Antarctic Territory, 1954-61</t>
  </si>
  <si>
    <t>AUSTRALIAN GEOGRAPHER</t>
  </si>
  <si>
    <t>Australian Antarctic Territory; cultural geography; Mawson Station; Mirnyy Station; Cold War; colonialism</t>
  </si>
  <si>
    <t>This article focuses on the spatiality of the Australian Antarctic Territory in the important 1954-61 period. Attending particularly to three key components of polar spatiality-geopolitics, international territorial law, and the built environment-the article analyses the development of the Territory as a unique Australian space. The 1954-61 period is particularly significant: during this period, the International Geophysical Year brought an unprecedented number of people to Antarctica; the continent's first permanent colonies were constructed; and, despite Cold War tensions, the 1961 Antarctic Treaty established the spatial configurations and rules which continue to govern the continent today. The article focuses particularly on two key stations in the Territory constructed during this period: Australia's Mawson Station and the Soviet Mirnyy Station. Mawson is a legal colony, designed to cement Australia's claim to 42 per cent of the Antarctic continent; Mirnyy, in contrast, is an anti-colony, designed to reject Australia's claim. How the individual spatialities of these two stations articulate to the broader politics of Antarctic territoriality - and particularly Australia's claim to the Australian Antarctic Territory - is the focus of this article.</t>
  </si>
  <si>
    <t>Queensland Univ Technol, Creat Ind Fac, Kelvin Grove, Qld 4059, Australia</t>
  </si>
  <si>
    <t>Queensland University of Technology (QUT)</t>
  </si>
  <si>
    <t>Collis, C (corresponding author), Queensland Univ Technol, Creat Ind Fac, Musk Ave, Kelvin Grove, Qld 4059, Australia.</t>
  </si>
  <si>
    <t>c.collis@qut.edu.au</t>
  </si>
  <si>
    <t>Collis, Christy/0000-0003-2951-8412</t>
  </si>
  <si>
    <t>ROUTLEDGE JOURNALS, TAYLOR &amp; FRANCIS LTD</t>
  </si>
  <si>
    <t>4 PARK SQUARE, MILTON PARK, ABINGDON OX14 4RN, OXFORDSHIRE, ENGLAND</t>
  </si>
  <si>
    <t>0004-9182</t>
  </si>
  <si>
    <t>AUST GEOGR</t>
  </si>
  <si>
    <t>Aust. Geogr.</t>
  </si>
  <si>
    <t>10.1080/00049180701422407</t>
  </si>
  <si>
    <t>Geography</t>
  </si>
  <si>
    <t>197XQ</t>
  </si>
  <si>
    <t>WOS:000248590800005</t>
  </si>
  <si>
    <t>Santalova, EA; Makarieva, TN; Ponomarenko, LP; Denisenko, VA; Krasokhin, VB; Mollo, E; Cimino, G; Stonik, VA</t>
  </si>
  <si>
    <t>Santalova, Elena A.; Makarieva, Tatyana N.; Ponomarenko, Ljudmila P.; Denisenko, Vladimir A.; Krasokhin, Vladimir B.; Mollo, Ernesto; Cimino, Guido; Stonik, Valentin A.</t>
  </si>
  <si>
    <t>Sterols and related metabolites from five species of sponges</t>
  </si>
  <si>
    <t>BIOCHEMICAL SYSTEMATICS AND ECOLOGY</t>
  </si>
  <si>
    <t>marine sponges; sterols; steroid ketones; Phyllospongio niadagascarensis; Scalarispongia sp.; Oceanapia sp.; Monanchora clathrata; Haliclona sp.</t>
  </si>
  <si>
    <t>MARINE SPONGES; JEREICOPSIS-GRAPHIDIOPHORA; SARCOTRAGUS-SPINULOSUS; SESTERTERPENE SULFATES; DEMOSPONGIAE; PORIFERA; CLASSIFICATION; FURANS</t>
  </si>
  <si>
    <t>Free sterol fractions were isolated from the marine sponges Phyllospongia madagascarensis, Scalarispongia sp., Oceanapia sp., Monanchora clathrata and studied by GLC, GLC-MS, and spectroscopy NMR. P. madagascarensis and Scalarispongia sp. contained common Delta(5)-sterols; cholesterol was shown to be a main sterol of both the sponges. Oceanapia sp. contained stanols and minor Delta(5)-sterols with 24R-24,25-methylene-5 alpha-cholestan-3 beta-ol as a main constituent. Many free sterols from M. clathrata were Delta(7)-series compounds, and latosterol was a main sterol. Delta(4)-3-Ketosteroids and Delta(5)-sterol esters were found in the Antarctic sponge Haliclona sp., but free sterols were practically absent except for trace amount of cholesterol. A chemotaxonomic application of sterols in relation to the genera Phyllospongia, Oceanapia and the family Crambeidae is provided. The known cases of the absence of sterols in sponges and probable reasons of the phenomenon are discussed. (c) 2007 Elsevier Ltd. All rights reserved.</t>
  </si>
  <si>
    <t>Russian Acad Sci, Far Eastern Branch, Pacific Inst Bioorgan Chem, Vladivostok 690022, Russia; ICB, CNR, I-80078 Pozzuoli, Italy</t>
  </si>
  <si>
    <t>Elyakov Pacific Institute of Bioorganic Chemistry; Russian Academy of Sciences; Consiglio Nazionale delle Ricerche (CNR); Istituto di Chimica Biomolecolare (ICB-CNR)</t>
  </si>
  <si>
    <t>Stonik, VA (corresponding author), Russian Acad Sci, Far Eastern Branch, Pacific Inst Bioorgan Chem, Pr 100 Letya,Vladivostoka 159, Vladivostok 690022, Russia.</t>
  </si>
  <si>
    <t>stonik@piboc.dvo.ru</t>
  </si>
  <si>
    <t>Ponomarenko, Ludmila/M-8358-2013; Mollo, Ernesto/F-7842-2013; Ponomarenko, Ludmila/HHD-3231-2022; Makarieva, Tatyana/M-8867-2013; Santalova, Elena A./M-8871-2013; Stonik, Valentin/O-1985-2013</t>
  </si>
  <si>
    <t>Mollo, Ernesto/0000-0001-7379-1788; Stonik, Valentin/0000-0002-8213-8411</t>
  </si>
  <si>
    <t>0305-1978</t>
  </si>
  <si>
    <t>BIOCHEM SYST ECOL</t>
  </si>
  <si>
    <t>Biochem. Syst. Ecol.</t>
  </si>
  <si>
    <t>10.1016/j.bse.2006.10.020</t>
  </si>
  <si>
    <t>184OA</t>
  </si>
  <si>
    <t>WOS:000247650100006</t>
  </si>
  <si>
    <t>Baker, GB; Double, MC; Gales, R; Tuck, GN; Abbott, CL; Ryan, PG; Petersen, SL; Robertson, CJR; Alderman, R</t>
  </si>
  <si>
    <t>Baker, G. Barry; Double, Michael C.; Gales, Rosemary; Tuck, Geoffrey N.; Abbott, Cathryn L.; Ryan, Peter G.; Petersen, Samantha L.; Robertson, Christopher J. R.; Alderman, Rachael</t>
  </si>
  <si>
    <t>A global assessment of the impact of fisheries-related mortality on shy and white-capped albatrosses: Conservation implications</t>
  </si>
  <si>
    <t>BIOLOGICAL CONSERVATION</t>
  </si>
  <si>
    <t>trawl and longline fisheries; seabird bycatch; bycatch mitigation; Thalassarche; albatross</t>
  </si>
  <si>
    <t>POPULATION-DYNAMICS; SEABIRD MORTALITY; DIOMEDEA-EXULANS; WANDERING ALBATROSS; THALASSARCHE-CAUTA; SOUTH-GEORGIA; LONGLINE FISHERIES; FALKLAND ISLANDS; BIRD-ISLAND; NEW-ZEALAND</t>
  </si>
  <si>
    <t>Hundreds of thousands of seabirds are killed each year as a result of interacting with longline and trawl fishing operations, and the severity of the impact varies regionally. Shy and white-capped albatrosses, Thalassarche cauta and Thalassarche steadi respectively, are phenotypically similar species known to be incidentally killed by fishing operations. The magnitude of this mortality has not previously been assessed across their range. Here we examine recent effort and bycatch rates in fisheries known to incidentally kill these species and qualitatively evaluate the level of impact of each fishery. Results indicate that over 8500 of these albatrosses may be killed annually, although the reliability of this estimate is low due to the paucity of comprehensive observer data in most fisheries. Of the estimated deaths of all seabird species in the fisheries assessed, trawl and longline fisheries killed birds in approximately equal proportions, but when the mortality levels of shy-type albatrosses were examined, trawl fisheries were responsible for 75% of all deaths. Data suggest most of these birds were killed in South African, Namibian and New Zealand demersal trawl fisheries and the South Africa pelagic longline fishery. Because most adult shy albatrosses are comparatively sedentary and rarely found outside Australian waters, it is primarily juvenile shy albatrosses that regularly encounter fishing fleets known to kill large numbers of albatrosses. In contrast, throughout most of their range juvenile and adult white-capped albatrosses are exposed to fisheries that collectively kill many thousands of these albatrosses each year. These data emphasise the urgent need for robust assessments of the impact of bycatch at a species and population level, and the urgent implementation of effective mitigation measures. (C) 2007 Elsevier Ltd. All rights reserved.</t>
  </si>
  <si>
    <t>Univ Tasmania, Inst Antarctic &amp; So Ocean Studies, Hobart, Tas 7001, Australia; Australian Natl Univ, Sch Bot &amp; Zool, Canberra, ACT 0200, Australia; Dept Primary Ind &amp; Water, Biodivers Conservat Branch, Hobart, Tas 7000, Australia; CSIRO Marine &amp; Atmospher Res, Hobart, Tas 7001, Australia; Univ Cape Town, Percy Fitzpatrick Inst African Ornithol, ZA-7701 Rondebosch, South Africa; Birdlife S Africa, Marine Programme, Responsible Fisheries Programme, ZA-8002 Waterfront, South Africa; Wild Press, Wellington, New Zealand</t>
  </si>
  <si>
    <t>University of Tasmania; Australian National University; Commonwealth Scientific &amp; Industrial Research Organisation (CSIRO); University of Cape Town</t>
  </si>
  <si>
    <t>Baker, GB (corresponding author), Univ Tasmania, Inst Antarctic &amp; So Ocean Studies, Private Bag 77, Hobart, Tas 7001, Australia.</t>
  </si>
  <si>
    <t>barry.baker@latitude42.com.au</t>
  </si>
  <si>
    <t>Tuck, Geoff/E-2356-2012</t>
  </si>
  <si>
    <t>Tuck, Geoff/0000-0002-3640-6147; Ryan, Peter/0000-0002-3356-2056; Baker, G. Barry/0000-0003-4766-8182</t>
  </si>
  <si>
    <t>0006-3207</t>
  </si>
  <si>
    <t>BIOL CONSERV</t>
  </si>
  <si>
    <t>Biol. Conserv.</t>
  </si>
  <si>
    <t>10.1016/j.biocon.2007.02.012</t>
  </si>
  <si>
    <t>Biodiversity Conservation; Ecology; Environmental Sciences</t>
  </si>
  <si>
    <t>186JS</t>
  </si>
  <si>
    <t>WOS:000247775600001</t>
  </si>
  <si>
    <t>Gonzalez, CC; Gandolfo, MA; Zamaloa, MC; Cuneo, NR; Wilf, P; Johnson, KR</t>
  </si>
  <si>
    <t>Gonzalez, Cynthia C.; Gandolfo, Maria A.; Zamaloa, Maria C.; Cuneo, Nestor R.; Wilf, Peter; Johnson, Kirk R.</t>
  </si>
  <si>
    <t>Revision of the proteaceae macrofossil record from patagonia, Argentina</t>
  </si>
  <si>
    <t>BOTANICAL REVIEW</t>
  </si>
  <si>
    <t>PLANT DIVERSITY; SOUTH-AMERICA; TERTIARY; TASMANIA; POLLEN; LEAVES; CLASSIFICATION; PHYLOGENY; EVOLUTION</t>
  </si>
  <si>
    <t>Proteaceae are restricted to the Southern Hemisphere, and of the seven tribes of the subfamily Grevilleoideae, only three (Macadamieae, Oriteae, and Embothricae) have living members in Argentina. Megafossil genera of Proteaceae recorded from Patagonia include Lomatia, Embothrium, Orites, and Roupala. In this report, we evaluate and revise fossil Argentine Proteaceae on the basis of type material and new specimens. The new collections come from the Tufolitas Laguna del Hunco (early Eocene, Chubut Province), the Ventana (middle Eocene, Rio Negro Province), and the Rio Nirihuau (late Oligocene-early Miocene, Rio Negro Province) formations, Patagonia, Argentina. We confirm the presence of Lomatia preferruginea Berry, L. occidentalis (Berry) Frenguelli, L. patagonica Frenguelli, Roupala patagonica Durango de Cabrera et Romero, and Orites bivascularis Romero, Dibbern et Gandolfo. Fossils assigned to Embothrium precoccineum Berry and E. pregrandiflorum Berry are doubtful, and new material is necessary to confirm the presence of this genus in the fossil record of Patagonia. A putative new fossil species of Proteaceae is presented as Proteaceae gen. et sp. indet. Fossil Proteaceae are compared with modem genera, and an identification key for the fossil leaf species is presented. Doubtful historical records of Proteaceae fossils for the Antarctic Peninsula region and Patagonia are also discussed. Based on this revision, the three tribes of Proteaceae found today in Argentina were already present in Patagonia by the early Eocene, where they probably arrived via the Australia-Antarctica-South America connection.</t>
  </si>
  <si>
    <t>Consejo Nacl Invest Cient &amp; Tecn, Museo Paleontol Egidio Feruglio, Trelew, Chubut, Argentina; Cornell Univ, Dept Plant Biol, LH Bailey Hortorium, Ithaca, NY 14853 USA; Univ Buenos Aires, Dept Ecol Genet &amp; Evoluc, Buenos Aires, DF, Argentina; Penn State Univ, Dept Geosci, University Pk, PA 16802 USA; Denver Museum Nat &amp; Sci, Dept Earth Sci, Denver, CO 80205 USA</t>
  </si>
  <si>
    <t>Consejo Nacional de Investigaciones Cientificas y Tecnicas (CONICET); Cornell University; University of Buenos Aires; Pennsylvania Commonwealth System of Higher Education (PCSHE); Pennsylvania State University; Pennsylvania State University - University Park</t>
  </si>
  <si>
    <t>Gonzalez, CC (corresponding author), Consejo Nacl Invest Cient &amp; Tecn, Museo Paleontol Egidio Feruglio, Av Fontana 140,CP 9100, Trelew, Chubut, Argentina.</t>
  </si>
  <si>
    <t>0006-8101</t>
  </si>
  <si>
    <t>1874-9372</t>
  </si>
  <si>
    <t>BOT REV</t>
  </si>
  <si>
    <t>Bot. Rev.</t>
  </si>
  <si>
    <t>10.1663/0006-8101(2007)73[235:ROTPMR]2.0.CO;2</t>
  </si>
  <si>
    <t>Plant Sciences</t>
  </si>
  <si>
    <t>217VK</t>
  </si>
  <si>
    <t>WOS:000249975200002</t>
  </si>
  <si>
    <t>Petricorena, ZLC; Somero, GN</t>
  </si>
  <si>
    <t>Petricorena, ZuIerna L. Coppes; Somero, George N.</t>
  </si>
  <si>
    <t>Biochemical adaptations of notothenioid fishes: Comparisons between cold temperate South American and New Zealand species and Antarctic species</t>
  </si>
  <si>
    <t>Antarctica; antifreeze glycoproteins; heat-shock response; notothenioid; temperature adaptation</t>
  </si>
  <si>
    <t>INDUCIBLE HSP70 GENE; ADAPTIVE RADIATION; EVOLUTION; EXPRESSION; MUSCLE; DEHYDROGENASE; POLAR; ORTHOLOGS; STRESS; OCEAN</t>
  </si>
  <si>
    <t>Fishes of the perciform. suborder Notothenioidei afford an excellent opportunity for studying the evolution and functional importance of diverse types of biochemical adaptation to temperature. Antarctic notothemoids have evolved numerous biochemical adaptations to stably cold waters, including antifreeze glycoproteins, which inhibit growth of ice crystals, and enzymatic proteins with cold-adapted specific activities (k(cat) values) and substrate binding abilities (K. values), which support metabolism at low temperatures. Antarctic notothenioids also exhibit the loss of certain biochemical traits that are ubiquitous in other fishes, including the heat-shock response (HSR) and, in members of the family Channichthyidae, hemoglobins and myoglobins. Tolerance of warm temperatures is also truncated in stenothermal Antarctic notothenioids. In contrast to Antarctic notothcnioids, notothenioid species found in South American and New Zealand waters have biochemistries more reflective of cold-temperate environments. Some of the contemporary non-Antarctic notothemoids likely derive from ancestral species that evolved in the Antarctic and later escaped to lower latitude waters when the Antarctic Polar Front temporarily shifted northward during the late Miocene. Studies of cold-temperate notothenioids may enable the timing of critical events in the evolution of Antarctic notothenioids to be determined, notably the chronology of acquisition and amplification of antifreeze glycoprotein genes and the loss of the HSR. Genomic studies may reveal how the gene regulatory networks involved in acclimation to temperature differ between stenotherms like the Antarctic notothenioids and more eurythermal species like cold-temperate notothenioids. Comparative studies of Antarctic and cold-temperate notothenioids thus have high promise for revealing the mechanisms by which temperature-adaptive biochemical traits are acquired - or through which traits that cease to be of advantage under conditions of stable, ricar-freezing temperatures are lost - during evolution. (c) 2006 Elsevier Inc. All rights reserved.</t>
  </si>
  <si>
    <t>Fac Chem, Montevideo, Uruguay; Stanford Univ, Dept Biol Sci, Hopkins Marine Stn, Pacific Grove, CA 93950 USA</t>
  </si>
  <si>
    <t>Stanford University</t>
  </si>
  <si>
    <t>Petricorena, ZLC (corresponding author), Fac Chem, Montevideo, Uruguay.</t>
  </si>
  <si>
    <t>zucoppes@yahoo.com</t>
  </si>
  <si>
    <t>Somero, George/AAC-3321-2019</t>
  </si>
  <si>
    <t>Somero, George/0000-0003-1431-6455</t>
  </si>
  <si>
    <t>STE 800, 230 PARK AVE, NEW YORK, NY 10169 USA</t>
  </si>
  <si>
    <t>1531-4332</t>
  </si>
  <si>
    <t>10.1016/j.cbpa.2006.09.028</t>
  </si>
  <si>
    <t>180JZ</t>
  </si>
  <si>
    <t>WOS:000247360500024</t>
  </si>
  <si>
    <t>Solgaard, G; Standal, IB; Draget, KI</t>
  </si>
  <si>
    <t>Solgaard, Geir; Standal, Inger Beate; Draget, Kurt I.</t>
  </si>
  <si>
    <t>Proteolytic activity and protease classes in the zooplankton species Calanus finmarchicus</t>
  </si>
  <si>
    <t>COMPARATIVE BIOCHEMISTRY AND PHYSIOLOGY B-BIOCHEMISTRY &amp; MOLECULAR BIOLOGY</t>
  </si>
  <si>
    <t>calanus finmarchicus; proteolytic activity; protease classes; inhibitors; feed; cod juveniles</t>
  </si>
  <si>
    <t>EUPHAUSIA-SUPERBA; ANTARCTIC KRILL; PEPTIDE-HYDROLASES; FISH LARVAE; PURIFICATION; ENZYMES; COPEPODS; FOOD</t>
  </si>
  <si>
    <t>The temperature optimum for the general proteolytic activity in the crude extract of Calanusfinmarchicus was 50 degrees C and the pH optimum was found to be 7. The use of specific protease inhibitors resulted in the identification of at least three protease classes in the. crude extract of C. finmarchicus. Those classes were serine, metallo and aspartic proteases. The serine and metallo proteases were found to be dominant under neutral to alkaline conditions and the aspartic proteases were dominant under acidic conditions. The cysteine proteases, if at all present, did not seem to be active or present in any substantial amount. The data presented points towards controlling and preserving the protein content in fresh C. finmarchicus. (c) 2007 Elsevier Inc. All rights reserved.</t>
  </si>
  <si>
    <t>Norwegian Univ Sci &amp; Technol, Dept Biotechnol, Norwegian Biopolymer Lab, NO-7491 Trondheim, Norway; SINTEF Fisheries &amp; Aquaculture, NO-7465 Trondheim, Norway</t>
  </si>
  <si>
    <t>Norwegian University of Science &amp; Technology (NTNU); SINTEF</t>
  </si>
  <si>
    <t>Solgaard, G (corresponding author), Norwegian Univ Sci &amp; Technol, Dept Biotechnol, Norwegian Biopolymer Lab, Sem Saelands V 6-8, NO-7491 Trondheim, Norway.</t>
  </si>
  <si>
    <t>geir.solgaard@biotech.ntnu.no</t>
  </si>
  <si>
    <t>Solgaard, Geir/C-7110-2012</t>
  </si>
  <si>
    <t>Standal, Inger Beate/0000-0003-2802-9860</t>
  </si>
  <si>
    <t>1096-4959</t>
  </si>
  <si>
    <t>COMP BIOCHEM PHYS B</t>
  </si>
  <si>
    <t>Comp. Biochem. Physiol. B-Biochem. Mol. Biol.</t>
  </si>
  <si>
    <t>10.1016/j.cbpb.2007.02.014</t>
  </si>
  <si>
    <t>Biochemistry &amp; Molecular Biology; Zoology</t>
  </si>
  <si>
    <t>183EQ</t>
  </si>
  <si>
    <t>WOS:000247555900015</t>
  </si>
  <si>
    <t>Ansaldo, M; Sacristan, H; Wider, E</t>
  </si>
  <si>
    <t>Ansaldo, Martin; Sacristan, Hernan; Wider, Eva</t>
  </si>
  <si>
    <t>Does starvation influence the antioxidant status of the digestive gland of Nacella concinna in experimental conditions?</t>
  </si>
  <si>
    <t>COMPARATIVE BIOCHEMISTRY AND PHYSIOLOGY C-TOXICOLOGY &amp; PHARMACOLOGY</t>
  </si>
  <si>
    <t>lipid-peroxidation; protein oxidation; GSH; SOD; CAT; GST; molluscs; Nacella concinna</t>
  </si>
  <si>
    <t>OXIDATIVE-STRESS; ANTARCTIC LIMPET; FOOD-DEPRIVATION; METABOLISM; CONTAMINATION; GLUTATHIONE; RESPONSES; DEFENSES; STREBEL; TISSUES</t>
  </si>
  <si>
    <t>In a previous study we analysed the effect of diesel seawater contamination in the digestive gland of the Antarctic limpet Nacella concinna. We observed that antioxidant enzyme activities decreased after one-week starvation prior to the experiment, and this was considered in the analysis of the obtained results. To know whether the digestive gland oxidant-antioxidant status may be altered by starvation and experimental conditions, we evaluated the food deprivation effect in limpets from the nearshore shallow waters of Potter Cove, Antarctica. Organisms were acclimated to laboratory conditions and were divided in fed and starved groups, and maintained in these conditions during one month. Every week 20 limpets were sampled from each group. Digestive glands were dissected and kept frozen until they were processed. Superoxide dismutase (SOD), catalase (CAT) and glutathione S-transferase (GST) activities, as well as lipid peroxidation (LPO) measured as thiobarbituric reactive substances (TBARS), protein oxidation (PO) and reduced glutathione (GSH) were measured. For both groups of limpets, SOD increased its activity in the first week of the exposure period, with a maximum in the second week. CAT activity increased significantly in the second week, only for the starved group. Similarly, GST activity also increased for starved group in the second week; but maintained this tendency for both groups until the fourth week. In fed and starved limpets, TBARS values increased significantly, during the first week and then returned to normal values. The PO levels in the starved group increased only during the first week. The GSH content, for the fed group, increased significantly after the third week. The obtained results indicate that biochemical or physiological studies conducted with N. concinna should consider the effects of food deprivation and time spent under experimental conditions. (c) 2006 Elsevier Inc. All rights reserved.</t>
  </si>
  <si>
    <t>Inst Antartico Argentino, Direcc Nacl Antart, RA-1010 Buenos Aires, DF, Argentina; Univ Buenos Aires, Fac Ciencias Exactas &amp; Nat, Dept Quim Biol, RA-1428 Buenos Aires, DF, Argentina; Consejo Nacl Invest Cient &amp; Tecn, RA-1033 Buenos Aires, DF, Argentina</t>
  </si>
  <si>
    <t>Instituto Antartico Argentino; University of Buenos Aires; Consejo Nacional de Investigaciones Cientificas y Tecnicas (CONICET)</t>
  </si>
  <si>
    <t>Ansaldo, M (corresponding author), Inst Antartico Argentino, Direcc Nacl Antart, Cerrito 1248, RA-1010 Buenos Aires, DF, Argentina.</t>
  </si>
  <si>
    <t>tincho@qb.fcen.uba.ar</t>
  </si>
  <si>
    <t>Sacristan, Hernan/0000-0003-2331-8487</t>
  </si>
  <si>
    <t>1532-0456</t>
  </si>
  <si>
    <t>1878-1659</t>
  </si>
  <si>
    <t>COMP BIOCHEM PHYS C</t>
  </si>
  <si>
    <t>Comp. Biochem. Physiol. C-Toxicol. Pharmacol.</t>
  </si>
  <si>
    <t>JUL-AUG</t>
  </si>
  <si>
    <t>10.1016/j.cbpc.2006.11.004</t>
  </si>
  <si>
    <t>Biochemistry &amp; Molecular Biology; Endocrinology &amp; Metabolism; Toxicology; Zoology</t>
  </si>
  <si>
    <t>202DC</t>
  </si>
  <si>
    <t>WOS:000248881200009</t>
  </si>
  <si>
    <t>Safi, KA; Griffiths, FB; Hall, JA</t>
  </si>
  <si>
    <t>Safi, Karl A.; Griffiths, F. Brian; Hall, Julie A.</t>
  </si>
  <si>
    <t>Microzooplankton composition, biomass and grazing rates along the WOCE SR3 line between Tasmania and Antarctica</t>
  </si>
  <si>
    <t>microzooplankton; grazing; dilution experiments; biomass; phytoplankton; southern ocean</t>
  </si>
  <si>
    <t>MARGINAL ICE-ZONE; SATELLITE OCEAN COLOR; SOUTHERN-OCEAN; ATLANTIC SECTOR; CELL-VOLUME; PHYTOPLANKTON GROWTH; IRON FERTILIZATION; FRONTAL ZONES; WATER MASSES; CARBON FLOW</t>
  </si>
  <si>
    <t>Microzooplankton species composition and grazing rates on phytoplankton were investigated along a transect between similar to 46 and 67 degrees S, and between 140 and 145 degrees E. Experiments were conducted in summer between November 2nd and December 14th in 2001. The structure of the microbial food web changed considerably along the transect and was associated with marked differences in the physical and chemical environment encountered in the different water masses and frontal regions. On average microzooplankton grazing experiments indicated that 91%, 102%, and 157%, (see results) of the phytoplankton production would be grazed in the &lt; 200, &lt; 20 and &lt; 2 mu m size fractions, respectively, indicating microzooplankton grazing was potentially constraining phytoplankton populations (&lt; 200 mu m) along most of the transect. Small ciliates in general and especially oligotrich species declined in importance from the relatively warm, Southern Subtropical Front waters (6.8 mu g C/L) to the colder waters of the southern branch of the Polar Front (S-PF), (similar to 0.5 mu g C/L) before increasing again near the Antarctic landmass. Large changes in microzooplankton dominance were observed, with heterotrophic nanoflagellates (HNF), ciliates and larger dinoflagellates having significant biomass in different water masses. HNF were the dominant grazers when chlorophyll a was low in areas such as the Inter-Polar Frontal Zone (IPFZ), while in areas of elevated biomass such as the S-PF and Southern Antarctic Circumpolar Current (SACC), a mix of copepod nauplii and large heterotrophic and mixotrophic dinoflagellates tended to dominate the grazing community. In the S-PF and SACC water masses the tight coupling observed between the microzooplankton grazers and phytoplankton populations over most of the rest of the transect was relaxed. In these regions grazing was low on the &gt; 20 mu m size fraction of chlorophyll a, which dominated the biomass, while smaller diatoms and nanoplankton in the &lt; 20 mu m size fraction were still heavily grazed. The lack of grazing pressure on large phytoplankton contributes to this region's potential to export carbon with larger cells known to have higher sinking rates. (c) 2007 Elsevier Ltd. All rights reserved.</t>
  </si>
  <si>
    <t>Natl Inst Water &amp; Atmospher Res, Hamilton, New Zealand; CSIRO Div Marine Res, Hobart, Tas, Australia; Univ Tasmania, Antarct Climate &amp; Ecosyst CRC, Hobart, Tas, Australia</t>
  </si>
  <si>
    <t>National Institute of Water &amp; Atmospheric Research (NIWA) - New Zealand; Commonwealth Scientific &amp; Industrial Research Organisation (CSIRO); University of Tasmania</t>
  </si>
  <si>
    <t>Safi, KA (corresponding author), Natl Inst Water &amp; Atmospher Res, POB 11-115, Hamilton, New Zealand.</t>
  </si>
  <si>
    <t>k.safi@niwa.co.nz</t>
  </si>
  <si>
    <t>Safi, Karl/0000-0002-7785-1909</t>
  </si>
  <si>
    <t>10.1016/j.dsr.2007.05.003</t>
  </si>
  <si>
    <t>193BU</t>
  </si>
  <si>
    <t>WOS:000248249400001</t>
  </si>
  <si>
    <t>Hunt, BPV; PakhoMoVab, EA; Trotsenko, BG</t>
  </si>
  <si>
    <t>Hunt, B. P. V.; PakhoMoVab, E. A.; Trotsenko, B. G.</t>
  </si>
  <si>
    <t>The macrozooplankton of the cosmonaut sea, east Antarctica (30°E-60°E),1987-1990</t>
  </si>
  <si>
    <t>east Antarctica; cosmonaut sea; macrozooplankton; krill; inter-annual variation; multivariate analysis</t>
  </si>
  <si>
    <t>SOUTHERN-OCEAN; COMMUNITY STRUCTURE; EUPHAUSIA-SUPERBA; ROSS SEA; SALPA-THOMPSONI; FOOD WEB; KRILL; BIOMASS; ICE; PHYTOPLANKTON</t>
  </si>
  <si>
    <t>The macrozooplankton of the Cosmonaut Sea, Indian sector of the Southern Ocean, were investigated during the austral summers (January/February) of 1987, 1988, 1989 and 1990. Macrozooplankton samples were collected with Bongo and MT nets in the top 200 m of the water column, along with integrated temperature and salinity. Multivariate analysis of macrozooplankton density data identified a consistent division between the assemblage structure of the neritic and oceanic zones, the latter being characterized by a number of species unique to the continental shelf including Euphausia crystallorophias, Pleuragramma antarcticum and Notothenia kempi. Samples collected in the oceanic zone were all located within the Coastal Current (CC), south of the Southern Boundary of the Antarctic Circumpolar Current (ACC). However, in both 1987 and 1988 water masses of ACC origin had been injected into the CC. These intrusions were an important but inter-annually variable source of mesoscale spatial variability, being associated with distinct macrozooplankton assemblage structure and densities. Inter-annually there was considerable variation in macrozooplankton densities and biomass. Densities, dominated by Eukrohnia hamata, Thysanoessa macrura and Euphausia superba (krill), averaged similar to 250 ind.1000 m(-3) 3 from 1987 to 1989, but reached &gt; 750 ind.1000 m(-3) in 1990, largely due to higher densities of E hamata. Biomass was dominated by krill, and total levels reflected the decline in biomass of this species from 1986 to 1990. A number of significant correlations were identified between species densities and temperature and/or salinity. However, the wide biogeographic ranges of most species indicated that these correlations were largely spurious. Overall, the differences between macrozooplankton assemblages in ACC and CC water masses within years, and the differences in macrozooplankton densities between years, most likely reflected the different histories of spatially or temporally separated water masses that were structured by a combination of bottom-up and top-down processes. Comparison of the data from this study with other regions in the Antarctic demonstrated that there is considerable circumpolar consistency in the taxonomic composition of Antarctic macrozooplankton communities, although the densities and proportional contribution of species varies both spatially and temporally. The occurrence of a krill-dominated assemblage, characterized by low densities of other species, indicates that this species has a significant top-down impact on zooplankton communities. The spatial and temporal variation in krill biomass may therefore be a significant determinant of both mesoscale and circumpolar variation in the contribution of other taxonomic groups to Antarctic zooplankton assemblages. Locally, the decline in krill biomass in the Cosmonaut Sea between 1987 and 1990 indicated a weaker connection with the Cooperation Sea to the east, where the opposite trend was observed, than previously thought. Separation between these two seas is probably facilitated in part by the anti-cyclonic gyres observed in both regions. (c) 2007 Elsevier Ltd. All rights reserved.</t>
  </si>
  <si>
    <t>Univ British Columbia, Dept Earth &amp; Ocean Sci, Vancouver, BC V6T 1Z4, Canada; Univ Ft Hare, Zool Dept, ZA-5700 Alice, South Africa; YugNIRO, UA-334500 Crimea, Ukraine</t>
  </si>
  <si>
    <t>University of British Columbia; University of Fort Hare; Research lnstitute of Fisheries &amp; Oceanography</t>
  </si>
  <si>
    <t>Hunt, BPV (corresponding author), Univ British Columbia, Dept Earth &amp; Ocean Sci, 6339 Stores Rd, Vancouver, BC V6T 1Z4, Canada.</t>
  </si>
  <si>
    <t>bhunt@eos.ubc.ca</t>
  </si>
  <si>
    <t>10.1016/j.dsr.2007.04.002</t>
  </si>
  <si>
    <t>WOS:000248249400002</t>
  </si>
  <si>
    <t>Kawakami, H; Honda, MC</t>
  </si>
  <si>
    <t>Kawakami, Hajime; Honda, Makio C.</t>
  </si>
  <si>
    <t>Time-series observation of POC fluxes estimated from 234 Th in the northwestern North Pacific</t>
  </si>
  <si>
    <t>Th-234; POC flux; e-ratio; new production; northwestern north pacific</t>
  </si>
  <si>
    <t>PARTICULATE ORGANIC-CARBON; CENTRAL EQUATORIAL PACIFIC; STATION KNOT 44-DEGREES-N; ANTARCTIC POLAR FRONT; UPPER OCEAN EXPORT; SUB-ARCTIC GYRE; SOUTHERN-OCEAN; TH-234/U-238 DISEQUILIBRIUM; SEASONAL VARIABILITY; COMMUNITY STRUCTURE</t>
  </si>
  <si>
    <t>Time-series measurements of Th-234 activities and particulate organic carbon (POC) concentrations were made at time-series stations (K1, K2, K3, and KNOT) in the northwestern North Pacific from October 2002 to August 2004. Seasonal changes in POC export fluxes from the surface layer (similar to 100 m) were estimated using Th-234 as a tracer. POC fluxes varied seasonally front approximately 0 to 180 mg Cm-2 d(-1) and were higher in spring-summer than in autumn-winter. The export ratio (e-ratio) ranged from 6% to 55% and was also higher in spring-summer. Annual POC fluxes were estimated to be 31 g C m(-2)y(-1) in the subarctic region (station K2) and 23 g C m(-2)y(-1) in the region between the subarctic and subtropical gyres (station K3). POC fluxes and e-ratios in the northwestern North Pacific were much higher than those in most other oceans. The annual POC flux corresponded to 69% of annual new production estimated from the seasonal difference of the nutrient in the Western Subarctic Gyre (45 g C m(-2) y(-1)). These results indicate that much of the organic carbon assimilated in the surface layer of the northwestern North Pacific is transferred to the deep ocean in particulate form. Our conclusions support previous reports that diatoms play an important role in the biological pump. (c) 2007 Elsevier Ltd. All rights reserved.</t>
  </si>
  <si>
    <t>Japan Agcy Marine Earth Sci &amp; Technol, Mutsu Inst Oceanog, Mutsu 0350022, Japan</t>
  </si>
  <si>
    <t>Japan Agency for Marine-Earth Science &amp; Technology (JAMSTEC)</t>
  </si>
  <si>
    <t>Kawakami, H (corresponding author), Japan Agcy Marine Earth Sci &amp; Technol, Mutsu Inst Oceanog, 690 Azakitasekine, Mutsu 0350022, Japan.</t>
  </si>
  <si>
    <t>kawakami@jamstec.go.jp</t>
  </si>
  <si>
    <t>Kawakami, Hajime/0009-0004-3946-5355</t>
  </si>
  <si>
    <t>10.1016/j.dsr.2007.04.005</t>
  </si>
  <si>
    <t>WOS:000248249400003</t>
  </si>
  <si>
    <t>Hyrenbach, KD; Veit, RR; Weimerskirch, H; Metzl, N; Hunt, GL</t>
  </si>
  <si>
    <t>Hyrenbach, K. David; Veit, Richard R.; Weimerskirch, Henri; Metzl, Nicolas; Hunt, George L., Jr.</t>
  </si>
  <si>
    <t>Community structure across a large-scale ocean productivity gradient: Marine bird assemblages of the Southern Indian Ocean</t>
  </si>
  <si>
    <t>community structure; seabirds; ocean productivity; oceanic fronts; remote sensing; species assemblages; crozet basin; Indian ocean</t>
  </si>
  <si>
    <t>GENERALIZED ADDITIVE-MODELS; SEABIRD COMMUNITY; HABITAT SELECTION; FORAGING ECOLOGY; CROZET BASIN; SEA; FRONTS; DISTRIBUTIONS; VARIABILITY; CIRCULATION</t>
  </si>
  <si>
    <t>Our objective was to understand how marine birds respond to oceanographic variability across the Southern Indian Ocean using data collected during an 16-day cruise (4-21 January 2003). We quantified concurrent water mass distributions, ocean productivity patterns, and seabird distributions across a heterogeneous pelagic ecosystem from subtropical to sub-Antarctic waters. We surveyed 5155 kin and sighted 15,606 birds from 51 species, and used these data to investigate how seabirds respond to spatial variability in the structure and productivity of the ocean. We addressed two spatial scales: the structure of seabird communities across macro-mega scale (1000 s km) biogeographic domains, and their coarse-scale (10 s km) aggregation at hydrographic and bathymetric gradients. Both seabird density and species composition changed with latitudinal and onshore-offshore gradients in depth, water temperature, and chlorophyll-a concentration. The average seabird density increased across the subtropical convergence (STC) from 2.4 birds km(-2) in subtropical waters to 23.8 birds km(-2) in sub-Antarctic waters. The composition of the avifauna also differed across biogeographic domains. Prions (Pachyptila spp.) accounted for 57% of all sub-Antarctic birds, wedge-tailed shearwaters (Puffinus pacificus) accounted for 46% of all subtropical birds, and Indian Ocean yellow-nosed albatross (Thallasarche carteri) accounted for 32% of all birds in the STC. While surface feeders were the most abundant foraging guild across the study area, divers were disproportionately more numerous in the sub-Antarctic domain, and plungers were disproportionately more abundant in subtropical waters. Seabird densities were also higher within shallow shelf-slope regions, especially in sub-Antarctic waters, where large numbers of breeding seabirds concentrated. However, we did not find elevated seabird densities along the STC, suggesting that this broad frontal region is not a site of enhanced aggregation. (c) 2007 Elsevier Ltd. All rights reserved.</t>
  </si>
  <si>
    <t>Duke Univ, Marine Lab, Beaufort, NC 28517 USA; CSI CUNY, Dept Biol, Staten Isl, NY 10314 USA; Ctr Natl Rech Sci, Ctr Etud Biol Chize, Villiers En Bois, France; Univ Paris 06, LOCEAN IPSL, F-75252 Paris, France; Univ Calif Irvine, Dept Ecol &amp; Evolut, Irvine, CA 92697 USA</t>
  </si>
  <si>
    <t>Duke University; City University of New York (CUNY) System; Centre National de la Recherche Scientifique (CNRS); Sorbonne Universite; Museum National d'Histoire Naturelle (MNHN); University of California System; University of California Irvine</t>
  </si>
  <si>
    <t>Hyrenbach, KD (corresponding author), Univ Washington, Sch Aquat &amp; Fishery Sci, Box 355020, Seattle, WA 98195 USA.</t>
  </si>
  <si>
    <t>khyrenba@duke.edu</t>
  </si>
  <si>
    <t>Weimerskirch, Henri/K-7306-2019; Weimerskirch, Henri/F-5562-2013; Hunt, George/V-9423-2019</t>
  </si>
  <si>
    <t>Weimerskirch, Henri/0000-0002-0457-586X; metzl, nicolas/0000-0002-1165-1074; Hunt, George/0000-0001-8709-2697</t>
  </si>
  <si>
    <t>10.1016/j.dsr.2007.05.002</t>
  </si>
  <si>
    <t>WOS:000248249400006</t>
  </si>
  <si>
    <t>The Hubert Miller Seamount, Marie Byrd Seamounts province, West Antarctic, Southern Ocean</t>
  </si>
  <si>
    <t>NEW-ZEALAND</t>
  </si>
  <si>
    <t>Udintsev, GB (corresponding author), Russian Acad Sci, VI Vernadskii Inst Geochem &amp; Analyt Chem, Ul Kosygina 19, Moscow 117975, Russia.</t>
  </si>
  <si>
    <t>10.1134/S1028334X07050364</t>
  </si>
  <si>
    <t>198HA</t>
  </si>
  <si>
    <t>WOS:000248616400036</t>
  </si>
  <si>
    <t>Shepherd, D; Burgess, D; Jickells, T; Andrews, J; Cave, R; Turner, RK; Aldridge, J; Parker, ER; Young, E</t>
  </si>
  <si>
    <t>Shepherd, D.; Burgess, D.; Jickells, T.; Andrews, J.; Cave, R.; Turner, R. K.; Aldridge, J.; Parker, E. R.; Young, E.</t>
  </si>
  <si>
    <t>Modelling the effects and economics of managed realignment on the cycling and storage of nutrients, carbon and sediments in the Blackwater estuary UK</t>
  </si>
  <si>
    <t>ESTUARINE COASTAL AND SHELF SCIENCE</t>
  </si>
  <si>
    <t>nutrient cycles; denitrification; nearshore sedimentation; hydrodynamic modelling; coastal zone management</t>
  </si>
  <si>
    <t>ECOSYSTEM SERVICES; IRISH SEA; POLICY; TRANSPORT; MARSH</t>
  </si>
  <si>
    <t>A hydrodynamic model is developed for the Blackwater estuary (UK) and used to estimate nitrate removal by denitrification. Using the model, sediment analysis and estimates of sedimentation rates, we estimate changes in estuarine denitrification and intertidal carbon and nutrient storage and associated value of habitat created under a scenario of extensive managed realignment. We then use this information, together with engineering and land costs, to conduct a cost benefit analysis of the managed realignment. This demonstrates that over a 50-100 year timescale the value of the habitat created and carbon buried is sufficient to make the large scale managed realignment cost effective. The analysis reveals that carbon and nutrient storage plus habitat creation represent major and quantifiable benefits of realignment. The methodology described here can be readily transferred to other coastal systems. (c) 2007 Elsevier Ltd. All rights reserved.</t>
  </si>
  <si>
    <t>Natl Univ Ireland Univ Coll Galway, Dept Earth &amp; Ocean Sci, Galway, Ireland; British Antarctic Survey, Cambridge CB3 0ET, England; Univ E Anglia, Sch Environm Sci, Tyndall ctr Climate Change Res, Norwich NR4 7TJ, Norfolk, England; CEFAS Lab, Lowestoft NR33 OHT, Suffolk, England</t>
  </si>
  <si>
    <t>Ollscoil na Gaillimhe-University of Galway; UK Research &amp; Innovation (UKRI); Natural Environment Research Council (NERC); NERC British Antarctic Survey; University of East Anglia; Centre for Environment Fisheries &amp; Aquaculture Science</t>
  </si>
  <si>
    <t>Jickells, T (corresponding author), Agri Food &amp; Biosci Inst, Belfast BT9 5PX, Antrim, North Ireland.</t>
  </si>
  <si>
    <t>t.jickells@uea.ac.uk</t>
  </si>
  <si>
    <t>Parker, Ruth/S-4583-2017; Aldridge, John/IWE-0253-2023</t>
  </si>
  <si>
    <t>Young, Emma/0000-0002-7069-6109</t>
  </si>
  <si>
    <t>Economic and Social Research Council [M545285002] Funding Source: researchfish</t>
  </si>
  <si>
    <t>Economic and Social Research Council(UK Research &amp; Innovation (UKRI)Economic &amp; Social Research Council (ESRC))</t>
  </si>
  <si>
    <t>ACADEMIC PRESS LTD- ELSEVIER SCIENCE LTD</t>
  </si>
  <si>
    <t>24-28 OVAL RD, LONDON NW1 7DX, ENGLAND</t>
  </si>
  <si>
    <t>0272-7714</t>
  </si>
  <si>
    <t>1096-0015</t>
  </si>
  <si>
    <t>ESTUAR COAST SHELF S</t>
  </si>
  <si>
    <t>Estuar. Coast. Shelf Sci.</t>
  </si>
  <si>
    <t>10.1016/j.ecss.2007.01.019</t>
  </si>
  <si>
    <t>179HX</t>
  </si>
  <si>
    <t>WOS:000247281500001</t>
  </si>
  <si>
    <t>Sattley, WM; Madigan, MT</t>
  </si>
  <si>
    <t>Sattley, W. Matthew; Madigan, Michael T.</t>
  </si>
  <si>
    <t>Cold-active acetogenic bacteria from surficial sediments of perennially ice-covered Lake Fryxell, Antarctica</t>
  </si>
  <si>
    <t>FEMS MICROBIOLOGY LETTERS</t>
  </si>
  <si>
    <t>acetogens; Antarctica; Lake Fryxell</t>
  </si>
  <si>
    <t>SULFATE-REDUCING BACTERIA; SP-NOV; METHANOGENIC ARCHAEA; DRY VALLEYS; GEN-NOV; TEMPERATURE; HYDROGEN; SOIL; DIVERSITY</t>
  </si>
  <si>
    <t>Cold-active acetogenic bacteria in the permanently cold sediments of Lake Fryxell, Antarctica were investigated using culture-based methods. Two psychrophilic, acetogenic strains were isolated and found to be physiologically and phylogenetically related to Acetobacterium bakii and Acetobacterium tundrae. However, the Antarctic isolates showed a lower growth temperature range than other species of Acetobacterium, with growth occurring from -2.5 to 25 degrees C and optimally at 19-21 degrees C. Cultures incubated at +5 and +1 degrees C grew with generation times of 7 and 9 days, respectively. The rapid growth of these strains at low temperatures suggests that acetogenesis may be an important anaerobic process in the sediments of Lake Fryxell.</t>
  </si>
  <si>
    <t>So Illinois Univ, Dept Microbiol, Carbondale, IL 62901 USA</t>
  </si>
  <si>
    <t>Southern Illinois University System; Southern Illinois University</t>
  </si>
  <si>
    <t>Madigan, MT (corresponding author), So Illinois Univ, Dept Microbiol, Carbondale, IL 62901 USA.</t>
  </si>
  <si>
    <t>madigan@micro.siu.edu</t>
  </si>
  <si>
    <t>Sattley, W. Matthew/0000-0001-6712-2836</t>
  </si>
  <si>
    <t>BLACKWELL PUBLISHING</t>
  </si>
  <si>
    <t>9600 GARSINGTON RD, OXFORD OX4 2DQ, OXON, ENGLAND</t>
  </si>
  <si>
    <t>0378-1097</t>
  </si>
  <si>
    <t>FEMS MICROBIOL LETT</t>
  </si>
  <si>
    <t>FEMS Microbiol. Lett.</t>
  </si>
  <si>
    <t>10.1111/j.1574-6968.2007.00737.x</t>
  </si>
  <si>
    <t>179VA</t>
  </si>
  <si>
    <t>WOS:000247317000008</t>
  </si>
  <si>
    <t>Miller, MF; Röckmann, T; Wright, IP</t>
  </si>
  <si>
    <t>Miller, M. F.; Rockmann, T.; Wright, I. P.</t>
  </si>
  <si>
    <t>A general algorithm for the 17O abundance correction to 13C/12C determinations from CO2 isotopologue measurements, including CO2 characterised by 'mass-independent' oxygen isotope distributions</t>
  </si>
  <si>
    <t>CARBON-DIOXIDE; ATMOSPHERIC OXYGEN; FRACTIONATION; RATIOS; OZONE; EQUILIBRIUM; SYSTEM; TERRESTRIAL; ENRICHMENT; DELTA-O-17</t>
  </si>
  <si>
    <t>It is widely recognised that a significant limitation to the ultimate precision of carbon stable isotope ratio measurements, as obtained from dual-inlet mass spectrometric measurements Of CO2 isotopologue ion abundances at m/z 44, 45, and 46, is the correction for interference from O-17-bearing molecular ions. Two long-established, alternative procedures for determining the magnitude of this correction are in widespread use (although only one has IAEA approval); their differences lead to small but potentially significant discrepancies in the magnitude of the resulting correction. Furthermore, neither approach was designed to accommodate oxygen three-isotope distributions which do not conform to terrestrial mass-dependent behaviour. Stratospheric CO2, for example, contains a strongly 'mass-independent' oxygen isotope composition. A new strategy for determining the O-17-bearing ion correction is presented, for application where the oxygen three-isotope characteristics of the analyte CO2 are accurately known (or assigned) in terms of the slope lambda of the three-isotope fractionation line and the ordinate axis intercept 10(3) In(1 + k) on a 10(3) In(1 +delta O-17) versus 10(3) ln(1 + delta O-18) plot. At the heart of the approach is the relationship between R-17, which is the O-17/O-16 ratio of the sample CO2, and other assigned or empirically determined parameters needed for the delta C-13 evaluation: 2 R-18(ref)[R-17/(1+k)R-17(ref)](1/lambda) -3(R-17)(2) + 2 (RR)-R-17-R-45 -R-46 = 0 With R-45 and R-46 as the respective 45/44 and 46/44 ion abundance ratios of the sample, as obtained by measurement of delta(45)(CO2) and delta(46)(CO2) values reported relative to a reference material (usually VPDB-CO2), and R-17(ref) and R-18(ref) being the respective O-17/O-16 and O-18/O-16 ratios in the same reference material, R-17 can readily be obtained by numerical methods, for given lambda and k values. The correction procedure involves no approximations, in principle, and is equally applicable to CO2 of terrestrial, mass-dependent oxygen isotopic composition, as well as to more 'exotic' sources. Besides isotopic characterisation of stratospheric CO2, potential applications include high precision delta C-13 measurements of CO2 derived from the oxidation of tropospheric CO (also characterised by significantly 'mass-independent' oxygen isotopic composition); high precision isotopic monitoring of atmospheric CO2; the metrology of carbonate isotopic reference materials; and the isotopic characterisation of CO2 which has been equilibrated with waters artificially 'labelled' with known enrichments of O-17 and O-18. (c) 2007 Elsevier Ltd. All rights reserved.</t>
  </si>
  <si>
    <t>Open Univ, Planetary &amp; Space Sci Res Inst, Milton Keynes MK7 6AA, Bucks, England; Univ Utrecht, Inst Marine &amp; Atmospher Res Utrecht, NL-3508 TA Utrecht, Netherlands</t>
  </si>
  <si>
    <t>Open University - UK; Utrecht University</t>
  </si>
  <si>
    <t>Miller, MF (corresponding author), British Antarctic Survey, High Cross,Madingley Rd, Cambridge CB3 0ET, England.</t>
  </si>
  <si>
    <t>mfm@bas.ac.uk</t>
  </si>
  <si>
    <t>Miller, Martin F./AFL-7337-2022; Miller, Martin F./AAG-7303-2022; Rockmann, Thomas/F-4479-2015</t>
  </si>
  <si>
    <t>Miller, Martin F./0000-0002-7735-0098; Miller, Martin F./0000-0002-7735-0098; Rockmann, Thomas/0000-0002-6688-8968</t>
  </si>
  <si>
    <t>JUL 1</t>
  </si>
  <si>
    <t>10.1016/j.gca.2007.03.007</t>
  </si>
  <si>
    <t>188CG</t>
  </si>
  <si>
    <t>WOS:000247895700001</t>
  </si>
  <si>
    <t>Wilson, G; Damaske, D; Möller, HD; Tinto, K; Jordan, T</t>
  </si>
  <si>
    <t>Wilson, G.; Damaske, D.; Moeller, H.-D.; Tinto, K.; Jordan, T.</t>
  </si>
  <si>
    <t>The geological evolution of southern McMurdo sound -: new evidence from a high-resolution aeromagnetic survey</t>
  </si>
  <si>
    <t>GEOPHYSICAL JOURNAL INTERNATIONAL</t>
  </si>
  <si>
    <t>antarctica; fault tectonics; geomagnetism; palaeogeography; rifts; volcanic activity</t>
  </si>
  <si>
    <t>ANTARCTIC RIFT SYSTEM; ROSS ICE SHELF; TRANSANTARCTIC MOUNTAINS; SEA</t>
  </si>
  <si>
    <t>Magnetic anomaly data are presented from a new helicopter-borne high-resolution aeromagnetic survey in southern McMurdo Sound. Anomaly data have been acquired at a common 305 m elevation above the McMurdo and southern McMurdo ice shelves and draped over the volcanic islands that pin them. The resulting anomaly patterns provide a significant advance in the understanding of the rift related geology beneath the floating ice shelves. More extensive Erebus Volcanic Province (McMurdo Volcanic Group) rocks are indicated along with a significant blanket of glaci-volcaniclastic sediment on the seafloor between the volcanic islands in southern McMurdo Sound. These glaci-volcaniclastic sediments are inferred to originate from former grounding of the southern McMurdo Ice Shelf as a marine ice sheet. A strong N-S fabric is also observed in the anomaly data suggesting that the rift structure observed in the Victoria Land basin persists to the south beneath the McMurdo and southern McMurdo ice shelves. W-N-W transfer faults identified within the Transantarctic Mountain rift flank to the west are not obvious in the aeromagnetic data set, implying that the 'Discovery Accommodation Zone' may be restricted to the region between a southward extension of the range bounding fault that marks the limit of the Victoria Land Basin and the right lateral offset in the Transantarctic Mountain front in southern Victoria Land.</t>
  </si>
  <si>
    <t>Univ Otago, Dept Geol, Dunedin, New Zealand; Bundesanstalt Geowissensch &amp; Rohstoffe, D-30655 Hannover, Germany; British Antarctic Survey, Cambridge CB3 0ET, England</t>
  </si>
  <si>
    <t>University of Otago; UK Research &amp; Innovation (UKRI); Natural Environment Research Council (NERC); NERC British Antarctic Survey</t>
  </si>
  <si>
    <t>Wilson, G (corresponding author), Univ Otago, Dept Geol, POB 56, Dunedin, New Zealand.</t>
  </si>
  <si>
    <t>Gary.wilson@otago.ac.nz</t>
  </si>
  <si>
    <t>Wilson, Gary S/B-3803-2010</t>
  </si>
  <si>
    <t>Jordan, Tom/0000-0003-2780-1986; Wilson, Gary/0000-0003-0025-3641</t>
  </si>
  <si>
    <t>NERC [bas010020] Funding Source: UKRI; Natural Environment Research Council [bas010020] Funding Source: researchfish</t>
  </si>
  <si>
    <t>0956-540X</t>
  </si>
  <si>
    <t>GEOPHYS J INT</t>
  </si>
  <si>
    <t>Geophys. J. Int.</t>
  </si>
  <si>
    <t>10.1111/j.1365-246X.2007.03395.x</t>
  </si>
  <si>
    <t>183XT</t>
  </si>
  <si>
    <t>WOS:000247606400006</t>
  </si>
  <si>
    <t>Gaina, C; Müller, RD; Brown, B; Ishihara, T; Ivanov, S</t>
  </si>
  <si>
    <t>Gaina, Carmen; Mueller, R. Dietmar; Brown, Belinda; Ishihara, Takemi; Ivanov, Sergey</t>
  </si>
  <si>
    <t>Breakup and early seafloor spreading between India and Antarctica</t>
  </si>
  <si>
    <t>antarctica; enderby basin; plate tectonics; sea floor spreading; kerguelen</t>
  </si>
  <si>
    <t>KERGUELEN PLATEAU; EAST ANTARCTICA; MAGNETIC-ANOMALIES; OCEANIC-CRUST; SRI-LANKA; BROKEN RIDGE; GRAVITY; GONDWANA; MARGIN; SOUTH</t>
  </si>
  <si>
    <t>We present a tectonic interpretation of the breakup and early seafloor spreading between India and Antarctica based on improved coverage of potential field and seismic data off the east Antarctic margin between the Gunnerus Ridge and the Bruce Rise. We have identified a series of ENE trending Mesozoic magnetic anomalies from chron M9o (similar to 130.2 Ma) to M2o (similar to 124.1 Ma) in the Enderby Basin, and M9o to M4o (similar to 126.7 Ma) in the Princess Elizabeth Trough and Davis Sea Basin, indicating that India-Antarctica and India-Australia breakups were roughly contemporaneous. We present evidence for an abandoned spreading centre south of the Elan Bank microcontinent; the estimated timing of its extinction corresponds to the early surface expression of the Kerguelen Plume at the Southern Kerguelen Plateau around 120 Ma. We observe an increase in spreading rate from west to east, between chron M9 and M4 (38-54 mm yr(-1)), along the Antarctic margin and suggest the tectono-magmatic segmentation of oceanic crust has been influenced by inherited crustal structure, the kinematics of Gondwanaland breakup and the proximity to the Kerguelen hotspot. A high-amplitude, E-W oriented magnetic lineation named the Mac Robertson Coast Anomaly (MCA), coinciding with a landwards step-down in basement observed in seismic reflection data, is tentatively interpreted as the boundary between continental/transitional zone and oceanic crust. The exposure of lower crustal rocks along the coast suggests that this margin formed in a metamorphic core complex extension mode with a high strength ratio between upper and lower crust, which typically occurs above anomalously hot mantle. Together with the existence of the MCA zone this observation suggests that a mantle temperature anomaly predated the early surface outpouring/steady state magmatic production of the Kerguelen LIP. An alternative model suggests that the northward ridge jump was limited to the Elan Bank region, whereas seafloor spreading continued in the West Enderby Basin and its Sri Lankan conjugate margin. In this case, the MCA magnetic anomaly could be interpreted as the southern arm of a ridge propagator that stopped around 120 Ma.</t>
  </si>
  <si>
    <t>Geol Survey Norway, Ctr Geodynam, N-7002 Trondheim, Norway; Univ Sydney, Earth Byte Grp, Sch Geosci, Sydney, NSW 2006, Australia; Natl Inst Adv Ind Sci &amp; Technol, Inst Geol &amp; Geoinformat, Tsukuba, Ibaraki, Japan; Polar Marine Geophys Res Expedit, St Petersburg, Russia</t>
  </si>
  <si>
    <t>Geological Survey of Norway; University of Sydney; National Institute of Advanced Industrial Science &amp; Technology (AIST)</t>
  </si>
  <si>
    <t>Gaina, C (corresponding author), Geol Survey Norway, Ctr Geodynam, N-7002 Trondheim, Norway.</t>
  </si>
  <si>
    <t>Müller, Dietmar/L-1200-2019; Gaina, Carmen/I-5213-2015; Ivanov, Sergey/GSD-3061-2022</t>
  </si>
  <si>
    <t>Müller, Dietmar/0000-0002-3334-5764; Gaina, Carmen/0000-0001-5533-8103;</t>
  </si>
  <si>
    <t>1365-246X</t>
  </si>
  <si>
    <t>10.1111/j.1365-246X.2007.03450.x</t>
  </si>
  <si>
    <t>WOS:000247606400011</t>
  </si>
  <si>
    <t>Blachowiak-Samolyk, K; Angel, MV</t>
  </si>
  <si>
    <t>Blachowiak-Samolyk, Katarzyna; Angel, Martin V.</t>
  </si>
  <si>
    <t>A year round comparative study on the population structures of pelagic Ostracoda in Admiralty Bay (Southern Ocean)</t>
  </si>
  <si>
    <t>HYDROBIOLOGIA</t>
  </si>
  <si>
    <t>15th International Symposium on Ostracoda</t>
  </si>
  <si>
    <t>Berlin, GERMANY</t>
  </si>
  <si>
    <t>Antarctica; Admiralty Bay; pelagic Ostracoda; halocyprids; life cycle; seasonal changes</t>
  </si>
  <si>
    <t>CONCHOECIA-PSEUDODISCOPHORA; ZOOPLANKTON COMMUNITY; MESOPELAGIC OSTRACOD; ANTARCTIC PENINSULA; JAPAN SEA; PLANKTONIC OSTRACODS; HALOCYPRID OSTRACODS; ATLANTIC; ICE; PASSAGE</t>
  </si>
  <si>
    <t>The population structures of the three dominant planktonic halocyprid Ostracoda species in Admiralty Bay (King George Island, Antarctic Peninsula) were followed throughout the course of a year in zooplankton samples collected once every three weeks from February 1993 to January 1994. The sampling was conducted at two stations: A in the central part of Admiralty Bay (400-0 m) and B in the entrance to the Bay from the Bransfield Strait (400-0 m). The samples were taken using a WP-2 net (square mouth opening of 0.196 m(2) and 200 mu m mesh) hauled vertically from the bottom to the surface. Changes in the age structures of the populations of three species Alacia belgicae, Alacia hettacra and Metaconchoecia isocheira were tracked. Their population structures differed. The changes in A. belgicae suggested that it reproduces year-round, whereas both A. hettacra and M. isocheira probably complete their life cycles within a year. The cycle in A. hettacra probably starts earlier in the year than that of M. isocheira. Populations of A. belgicae and M. isocheira were more advanced in their development at station A, than at station B, but A. hettacra was more advanced at the latter. Advection appears to play a role in maintaining the populations in the shelf waters. Comparisons between populations in the shelf area (Admiralty Bay) and in open ocean waters (Croker Passage) show that the M. isocheira population is older in shelf water whereas the age structure of A. belgicae population is not influenced by the locality.</t>
  </si>
  <si>
    <t>Polish Acad Sci, Inst Oceanol, Dept Ecol, PL-81712 Sopot, Poland; Natl Oceanog Ctr, George Deacon Div, Southampton SO14 3ZH, Hants, England</t>
  </si>
  <si>
    <t>Polish Academy of Sciences; Institute of Oceanology of the Polish Academy of Sciences; NERC National Oceanography Centre</t>
  </si>
  <si>
    <t>Blachowiak-Samolyk, K (corresponding author), Polish Acad Sci, Inst Oceanol, Dept Ecol, Powstancow Warszawy 55, PL-81712 Sopot, Poland.</t>
  </si>
  <si>
    <t>kasiab@iopan.gda.pl</t>
  </si>
  <si>
    <t>Blachowiak-Samolyk, Katarzyna/0000-0001-8076-2168</t>
  </si>
  <si>
    <t>0018-8158</t>
  </si>
  <si>
    <t>1573-5117</t>
  </si>
  <si>
    <t>Hydrobiologia</t>
  </si>
  <si>
    <t>10.1007/s10750-007-0629-2</t>
  </si>
  <si>
    <t>169LR</t>
  </si>
  <si>
    <t>WOS:000246594200006</t>
  </si>
  <si>
    <t>Macelloni, G; Brogioni, M; Pampaloni, P; Cagnati, A</t>
  </si>
  <si>
    <t>Macelloni, Giovanni; Brogioni, Marco; Pampaloni, Paolo; Cagnati, Anselmo</t>
  </si>
  <si>
    <t>Multifrequency microwave emission from the dome-c area on the east antarctic plateau: Temporal and spatial variability</t>
  </si>
  <si>
    <t>9th Specialist Meeting on Microwave Radiometry and Remote Sensing Applications (MicroRad 2006)</t>
  </si>
  <si>
    <t>FEB 28-MAR 03, 2006</t>
  </si>
  <si>
    <t>San Juan, PR</t>
  </si>
  <si>
    <t>advanced microwave scanning Radiometer-EOS; (AMSR-E); Antarctica; electromagnetic models; microwave radiometry</t>
  </si>
  <si>
    <t>TEMPERATURE; SUBLIMATION</t>
  </si>
  <si>
    <t>The Antarctic plateau that extends for several hundred kilometers with an average altitude of close to 3000 in a.s.l. is the highest part of the east Antarctic ice cap. This area provides unique opportunities for various scientific disciplines, including glaciology and atmospheric and earth sciences. In addition, there is growing interest in using the Antarctic plateau, for calibrating and validating data of satellite-borne microwave radiometers, thanks to the size, structure, and spatial homogeneity of this area, and the thermal stability of deeper snow layers. In this paper, we analyze the temporal and spatial variabilities of multifrequency microwave emission from the area surrounding the Dome-C scientific station using Advanced Microwave Scanning Radiometer data collected throughout 2005. Moreover, a multilayer coherent electromagnetic model is used for estimating the contribution of snow layers to emission at various frequencies. The results are consistent with the physical structure of the ice sheet and with its seasonal and spatial variations.</t>
  </si>
  <si>
    <t>CNR, Ist Fis Applicata Nello Carrara, Sesto Fiorentino 50019, Italy; Agenzia Reg Prevenz &amp; Protez Ambientale Veneto, Ctr Valanghe Arabba, I-32020 Arabba, Italy</t>
  </si>
  <si>
    <t>Consiglio Nazionale delle Ricerche (CNR); Istituto di Fisica Applicata Nello Carrara (IFAC-CNR)</t>
  </si>
  <si>
    <t>Macelloni, G (corresponding author), CNR, Ist Fis Applicata Nello Carrara, Sesto Fiorentino 50019, Italy.</t>
  </si>
  <si>
    <t>G.Macelloni@ifac.enr.it; M.Brogioni@ifac.cnr.it; P.Pampaloni@ifac.cnr.it; acagnati@arpa.veneto.it</t>
  </si>
  <si>
    <t>Brogioni, Marco/Q-6583-2019; Brogioni, Marco/B-7522-2015; Macelloni, Giovanni/B-7518-2015</t>
  </si>
  <si>
    <t>Brogioni, Marco/0000-0001-6232-6020; Brogioni, Marco/0000-0001-6232-6020; MACELLONI, GIOVANNI/0000-0002-9738-7939</t>
  </si>
  <si>
    <t>10.1109/TGRS.2007.890805</t>
  </si>
  <si>
    <t>186NC</t>
  </si>
  <si>
    <t>WOS:000247784400014</t>
  </si>
  <si>
    <t>Mätzler, C; Rosenkranz, PW</t>
  </si>
  <si>
    <t>Maetzler, Christian; Rosenkranz, Philip W.</t>
  </si>
  <si>
    <t>Dependence of microwave brightness temperature on bistatic surface scattering:: Model functions and application to AMSU-A</t>
  </si>
  <si>
    <t>microwave signatures of Antarctic ice; microwave surface scattering</t>
  </si>
  <si>
    <t>SNOW</t>
  </si>
  <si>
    <t>For significant surface reflection, the brightness temperature above planetary surfaces depends not only on surface temperature, emissivity, and atmospheric emission, but also on the type of bistatic scattering. For a plane-parallel atmosphere, this dependence can be specified by an effective incidence angle theta(eff) from zenith of downwelling radiation. We obtained analytic expressions for the reflectivity and theta(eff) for typical scattering functions such as Lambert, Lommel-Seeliger, multiple isotropic scattering (Chandrasekhar), and Peake's grass model. In all cases, theta(eff) decreases with increasing zenith opacity (considered range: 0 to 1), and in most cases, the dependence on observation direction is small. These results are in contrast to specular reflection, where the effective incidence angle is given by the observation angle, which is, of course, independent of opacity. The dependence of terrestrial polar-region brightness temperatures on the type of bistatic scattering was studied for the Advanced Microwave Sounding Unit-A (AMSU-A). The difference between upwelling brightness temperatures calculated with diffuse and specular surface scattering is greatest for the zenith direction and for zenith opacities in the range of 0.3 to 0.6, and it decreases with increasing emissivity. A potential exists to infer a parameter AL describing the relative contributions of Lambertian (A(L) = 1) and specular (AL = 0) scattering. Some non-Lambertian scattering functions give values of AL &gt; 1. For example, Lommel-Seeliger surfaces that are observed near vertical give AL values of about 1.2, and still larger values (similar to 1.6) are obtained with the model of Peake. The angle dependence of AMSU-A measurements from the vicinity of Dome C, Antarctica, agrees with the Lambert model.</t>
  </si>
  <si>
    <t>Univ Bern, Inst Appl Phys, CH-3012 Bern, Switzerland; MIT, Cambridge, MA 02139 USA</t>
  </si>
  <si>
    <t>University of Bern; Massachusetts Institute of Technology (MIT)</t>
  </si>
  <si>
    <t>Mätzler, C (corresponding author), Univ Bern, Inst Appl Phys, Sidlerstr 5, CH-3012 Bern, Switzerland.</t>
  </si>
  <si>
    <t>matzler@iap.unibe.ch; pwr@mit.edu</t>
  </si>
  <si>
    <t>Rosenkranz, Philip/0000-0003-3881-4117</t>
  </si>
  <si>
    <t>10.1109/TGRS.2007.898089</t>
  </si>
  <si>
    <t>WOS:000247784400024</t>
  </si>
  <si>
    <t>Compagnucci, RH; Araneo, DC</t>
  </si>
  <si>
    <t>Compagnucci, Rosa Hilda; Araneo, Diego Christian</t>
  </si>
  <si>
    <t>El Nino as a predictor of argentine Andean riverflows</t>
  </si>
  <si>
    <t>INGENIERIA HIDRAULICA EN MEXICO</t>
  </si>
  <si>
    <t>Andean rivers; flows; precipitation; Argentina; El Nino; La Nina; sea surface temperature; correlation</t>
  </si>
  <si>
    <t>ANTARCTIC CIRCUMPOLAR WAVE; VARIABILITY</t>
  </si>
  <si>
    <t>This study aims to contribute to understanding the potentiality of Sea Surface Temperature (SST) as a watervolume predictor of Argentine Andean rivers, especially the SST anomaly over the equatorial Pacific sector (Nino3+4), and to determine the delay of such a potentiality at monthly-to-seasonal scales. An up-to-date concise review of the hydric regimes features of the rivers is presented. The correlation function Is estimated between the water volume at the seasonal peak and delayed SSTs, which allow to discern four regions: 1) northern Cuyo, where Nino3 + 4 and water volumes are related around 14 months before the seasonal peak, 2) southern Cuyo, where the anticipation is about 8 months; 3) northern Patagonia, where the water volume and SSTs connection is concurrent; and 4) southern Patagonia, with similar features to those of northern Cuyo. For regions 1, 2 and 4, the correlation fields show typical El Nino/La Nina spatial patterns, confirming the connection between Pacific SST anomalies and precipitation over the Andes mountains.</t>
  </si>
  <si>
    <t>Univ Buenos Aires, Fac Ciencias Exactas &amp; Nat, Dept Ciencias Atmosfera &amp; Los Oceanos, Buenos Aires, DF, Argentina</t>
  </si>
  <si>
    <t>University of Buenos Aires</t>
  </si>
  <si>
    <t>Compagnucci, RH (corresponding author), Univ Buenos Aires, Fac Ciencias Exactas &amp; Nat, Dept Ciencias Atmosfera &amp; Los Oceanos, Ciudad Univ Pabellon 2,2Piso 1428, Buenos Aires, DF, Argentina.</t>
  </si>
  <si>
    <t>rhc@at.fcen.uba.ar; araneo@at.fcen.uba.ar</t>
  </si>
  <si>
    <t>INST MEXICANO TECHNOLOGIAAGUA</t>
  </si>
  <si>
    <t>MORELOS</t>
  </si>
  <si>
    <t>APARTADO POSTAL 202, MORELOS 62550 CIVAC, MEXICO</t>
  </si>
  <si>
    <t>0186-4076</t>
  </si>
  <si>
    <t>ING HIDRAUL MEX</t>
  </si>
  <si>
    <t>Ing. Hidraul. Mex.</t>
  </si>
  <si>
    <t>Engineering, Civil; Water Resources</t>
  </si>
  <si>
    <t>Engineering; Water Resources</t>
  </si>
  <si>
    <t>202WN</t>
  </si>
  <si>
    <t>WOS:000248935000002</t>
  </si>
  <si>
    <t>Cherel, Y; Hobson, KA; Guinet, C; Vanpe, C</t>
  </si>
  <si>
    <t>Cherel, Yves; Hobson, Keith A.; Guinet, Christophe; Vanpe, Cecile</t>
  </si>
  <si>
    <t>Stable isotopes document seasonal changes in trophic niches and winter foraging individual specialization in diving predators from the Southern Ocean</t>
  </si>
  <si>
    <t>JOURNAL OF ANIMAL ECOLOGY</t>
  </si>
  <si>
    <t>fur seal; nonbreeding period; penguin; resource partitioning; trophic level</t>
  </si>
  <si>
    <t>ANTARCTIC FUR SEALS; GEOGRAPHICAL VARIATION; ARCTOCEPHALUS-GAZELLA; EUDYPTES-SCHLEGELI; MACQUARIE ISLAND; MARINE PREDATORS; KING PENGUINS; CHICK GROWTH; DIET; PREY</t>
  </si>
  <si>
    <t>1. Climatic variation outside the breeding season affects fluctuations in population numbers of seabirds and marine mammals. A challenge in identifying the underlying biological mechanisms is the lack of information on their foraging strategies during winter, when individuals migrate far from their breeding grounds. 2. We investigated the temporal variability in resource partitioning within the guild of five sympatric Subantarctic penguins and fur seals from Crozet Islands. The stable isotopic ratios of carbon (delta C-13) and nitrogen (delta N-15) for whole blood were measured for penguins and fur seals, as were the isotopic ratios for penguin nails and food. Animals were sampled at two periods, during breeding in summer and at their arrival in the colonies in spring (hereafter winter, since the temporal integration of blood amounting to several months). 3. In summer, delta C-13 and delta N-15 for blood samples defined three foraging areas and two trophic levels, respectively, characterizing four nonoverlapping trophic niches. King penguins and female Antarctic and Subantarctic fur seals are myctophid eaters foraging in distinct water masses, while both macaroni and rockhopper penguins had identical isotopic signatures indicating feeding on crustaceans near the archipelago. 4. Isotopic ratios were almost identical in summer and winter suggesting no major changes in the species niches, and hence, in the trophic structure of the guild during the nonbreeding period. A seasonal difference, however, was the larger variances in delta C-13 (and also to a lesser extent in delta N-15) values in winter, thus verifying our hypothesis that trophic niches widen when individuals are no longer central place foragers. 5. Winter isotopic ratios of macaroni penguins and male Antarctic fur seals had large variances, indicating individual foraging specializations. The range of delta C-13 and delta N-15 values of male fur seals showed, respectively, that they dispersed over a wide latitudinal gradient (from Antarctica to north of the archipelago) and fed on different prey (crustaceans and fish). 6. By comparing summer and winter isotopic ratios and examining the summer diet, we highlight the feeding habits of marine predators that were not previously addressed. The findings have a number of implications for understanding the functioning of the pelagic ecosystem and on the demography of these species.</t>
  </si>
  <si>
    <t>CNRS, CEBC, F-79360 Villiers En Bois, France; CNRS, UPR 1934, F-79360 Villiers En Bois, France; Environm Canada, Saskatoon, SK S7N 3H5, Canada</t>
  </si>
  <si>
    <t>Centre National de la Recherche Scientifique (CNRS); Centre National de la Recherche Scientifique (CNRS); Environment &amp; Climate Change Canada</t>
  </si>
  <si>
    <t>Cherel, Y (corresponding author), CNRS, CEBC, BP 14, F-79360 Villiers En Bois, France.</t>
  </si>
  <si>
    <t>cherel@cebc.cnrs.fr</t>
  </si>
  <si>
    <t>Hobson, Keith/Q-9306-2019; Guinet, Christophe/AAR-8457-2020; Bond, Alexander L/A-3786-2010</t>
  </si>
  <si>
    <t>Vanpe, Cecile/0000-0001-8136-1657</t>
  </si>
  <si>
    <t>0021-8790</t>
  </si>
  <si>
    <t>1365-2656</t>
  </si>
  <si>
    <t>J ANIM ECOL</t>
  </si>
  <si>
    <t>J. Anim. Ecol.</t>
  </si>
  <si>
    <t>10.1111/j.1365-2656.2007.01238.x</t>
  </si>
  <si>
    <t>180WT</t>
  </si>
  <si>
    <t>WOS:000247398800021</t>
  </si>
  <si>
    <t>Klatt, O; Boebel, O; Fahrbach, E</t>
  </si>
  <si>
    <t>Klatt, Olaf; Boebel, Olaf; Fahrbach, Eberhard</t>
  </si>
  <si>
    <t>A profiling float's sense of ice</t>
  </si>
  <si>
    <t>JOURNAL OF ATMOSPHERIC AND OCEANIC TECHNOLOGY</t>
  </si>
  <si>
    <t>The Argo project intends to continuously monitor temperature and salinity of the upper 2000 m of the global ocean by use of autonomous, vertically profiling floats. They are currently generating the largest oceanographic dataset that ever existed, covering most of the world's oceans. However, the use of these instruments in the polar oceans is seriously impeded by the presence of sea ice, as floats are hindered from transmitting their profile data or, even more seriously, potentially damaged when ascending to, or being at, the ice-covered sea surface. The authors present a cost neutral ice sensing algorithm (ISA), which alerts for the likely presence of sea ice. In this event, the profile is aborted and no surfacing attempted. To retrospectively track floats that actively remained under the sea ice because of ISA, acoustic tracking via the RAFOS technique was tested in the Weddell Sea. Last but not least, the most recent version of floats features the option of interim storage of profiles that could not be transmitted in real time (iStore). With these three developments, the ice- compatible float system to reliably extend Argo into the Antarctic Ocean in the near future was completed. Additional improvement might include using faster satellite communication links (Iridium or Argos 3) to reduce the float's risk-prone surface drift.</t>
  </si>
  <si>
    <t>Alfred Wegnet Inst Polar &amp; Marine Res, D-27570 Bremerhaven, Germany</t>
  </si>
  <si>
    <t>Helmholtz Association; Alfred Wegener Institute, Helmholtz Centre for Polar &amp; Marine Research</t>
  </si>
  <si>
    <t>Klatt, O (corresponding author), Alfred Wegnet Inst Polar &amp; Marine Res, Bussestr 24, D-27570 Bremerhaven, Germany.</t>
  </si>
  <si>
    <t>oklatt@awi-bremerhaven.de</t>
  </si>
  <si>
    <t>0739-0572</t>
  </si>
  <si>
    <t>1520-0426</t>
  </si>
  <si>
    <t>J ATMOS OCEAN TECH</t>
  </si>
  <si>
    <t>J. Atmos. Ocean. Technol.</t>
  </si>
  <si>
    <t>10.1175/JTECH2026.1</t>
  </si>
  <si>
    <t>Engineering, Ocean; Meteorology &amp; Atmospheric Sciences</t>
  </si>
  <si>
    <t>Engineering; Meteorology &amp; Atmospheric Sciences</t>
  </si>
  <si>
    <t>197KE</t>
  </si>
  <si>
    <t>WOS:000248553100010</t>
  </si>
  <si>
    <t>Murray, RJ; Bindoff, NL; Reason, CJC</t>
  </si>
  <si>
    <t>Murray, R. J.; Bindoff, Nathaniel L.; Reason, C. J. C.</t>
  </si>
  <si>
    <t>Modeling decadal changes on the Indian Ocean section I5 at 32°S</t>
  </si>
  <si>
    <t>Climate Variability and Predictability Studies Workshop on Indian Ocean Climate</t>
  </si>
  <si>
    <t>NOV 29-DEC 03, 2004</t>
  </si>
  <si>
    <t>Honolulu, HI</t>
  </si>
  <si>
    <t>EXTENDED RECONSTRUCTION; HYDROGRAPHIC SECTION; WATER; PACIFIC; VARIABILITY; VERSION; SST</t>
  </si>
  <si>
    <t>A near-global ocean model with resolution enhanced in the southern Indian Ocean has been spun up to seasonal equilibrium and then driven by NCEP-NCAR reanalysis 1 monthly mean forcings and Hadley SSTs over the period 1948 - 2002. The aim was to simulate changes in the subsurface properties observed in hydrographic surveys at 32 degrees S in the Indian Ocean in 1965, 1987, and 2002. These surveys showed a zonally averaged cooling on isopycnals of 0.5 degrees and 0.3 degrees C in mode and intermediate waters between 1965 and 1987 and a warming of the mode water coupled with a continued cooling of the intermediate water between 1987 and 2002. The major changes in isopycnal depth and temperature modeled in this study were confined to the mode water and were qualitatively similar to those observed but concentrated in a lower density class and in the eastern half of the section. The dominant changes here were multidecadal, with maximum temperatures on the sigma(theta) = 26.7 kg m(-3) isopycnal being reached in 1968 and minimum temperatures in 1990. The simulations showed a propagation of interannual anomalies toward the section from a region of deep late winter mixed layers in the southeast Indian Ocean within a period of several years. Surface temperatures in this region were lowest in the 1960s and highest in the late 1980s. Temperatures on isopycnals showed the opposite variation, consistent with SST having the controlling effect on mixed layer density and depth. Isopycnal depths within the mode water were strongly correlated with temperature, implying a redistribution of mode water density classes, the greatest volume of mode water being produced in a higher density class (sigma(theta) = 26.8-27.0 kg m(-3)) during the period of cooler surface forcing in the 1960s and 1970s than during the warmer period following (sigma(theta) = 26.6-26.8 kg m(-3)).</t>
  </si>
  <si>
    <t>Univ Melbourne, Sch Earth Sci, Parkville, Vic 3010, Australia; Univ Tasmania, Antarctic Climate &amp; Ecosyst CRC, Hobart, Tas, Australia; CSIRO Marine &amp; Atmospher Res, Hobart, Tas, Australia; Univ Cape Town, Dept Oceanog, ZA-7700 Rondebosch, South Africa</t>
  </si>
  <si>
    <t>University of Melbourne; University of Tasmania; Commonwealth Scientific &amp; Industrial Research Organisation (CSIRO); University of Cape Town</t>
  </si>
  <si>
    <t>Bindoff, NL (corresponding author), Univ Melbourne, Sch Earth Sci, Parkville, Vic 3010, Australia.</t>
  </si>
  <si>
    <t>n.bindoff@utas.edu.au</t>
  </si>
  <si>
    <t>Bindoff, Nathaniel Lee/IVV-0333-2023; Bindoff, Nathaniel Lee/C-8050-2011</t>
  </si>
  <si>
    <t>Bindoff, Nathaniel Lee/0000-0001-5662-9519; Bindoff, Nathaniel Lee/0000-0001-5662-9519</t>
  </si>
  <si>
    <t>45 BEACON ST, BOSTON, MA 02108-3693, UNITED STATES</t>
  </si>
  <si>
    <t>10.1175/JCLI4160.1</t>
  </si>
  <si>
    <t>184NO</t>
  </si>
  <si>
    <t>WOS:000247648900014</t>
  </si>
  <si>
    <t>Benoit, JB; Lopez-Martinez, G; Michaud, MR; Elnitsky, MA; Lee, RE; Denlinger, DL</t>
  </si>
  <si>
    <t>Benoit, Joshua B.; Lopez-Martinez, Giancarlo; Michaud, M. Robert; Elnitsky, Michael A.; Lee, Richard E., Jr.; Denlinger, David L.</t>
  </si>
  <si>
    <t>Mechanisms to reduce dehydration stress in larvae of the Antarctic midge, Belgica antarctica</t>
  </si>
  <si>
    <t>JOURNAL OF INSECT PHYSIOLOGY</t>
  </si>
  <si>
    <t>water balance; chironomid; dehydration resistance; drought acclimation; antarctica</t>
  </si>
  <si>
    <t>WATER-VAPOR ABSORPTION; FLESH FLY; HEAT-SHOCK; OVERWINTERING STRATEGIES; DROUGHT ACCLIMATION; FREEZING TOLERANCE; LIPID-COMPOSITION; DESICCATION; ACCUMULATION; TEMPERATURE</t>
  </si>
  <si>
    <t>The Antarctic midge, Belgica antarctica, is exposed to frequent periods of dehydration during its prolonged larval development in the cold and dry Antarctic environment. In this study, we determined the water requirements of the larvae and the mechanisms it exploits to reduce the stress of drying. Larvae lost water at an exceptionally high rate (&gt; 10%/h) and tolerated losing a high portion (&gt; 70%) of their water content. Larvae were unable to absorb water from subsaturated water vapor (&lt;= 0.98 a(v)) to replenish their water stores, thus this midge relies exclusively on the intake of liquid water to increase its pool of body water and maintain water balance. To reduce dehydration stress, the midge employed a variety of mechanisms. Behaviorally, the larvae suppressed water loss by clustering. In response to slow dehydration, glycerol concentration increased 2-fold and trehalose concentration increased 3-fold, responses that are known to decrease the rate of water loss and increase dehydration tolerance. No changes in the mass of cuticular lipids occurred in response to desiccation, but the observed shift to longer hydrocarbons likely contributes to reduced water loss as the larvae dehydrate. As the larvae dehydrated, their oxygen consumption rate dropped, resulting in a reduction of water loss by respiration. Lastly, one bout of slow dehydration also enhanced the larva's ability to survive subsequent dehydration, suggesting that the larvae have the capacity for drought acclimation. Thus, these hydrophilic midge larvae prevent dehydration by multiple mechanisms that collectively reduce the water loss rate and increase dehydration tolerance. (C) 2007 Elsevier Ltd. All rights reserved.</t>
  </si>
  <si>
    <t>Ohio State Univ, Dept Entomol, Columbus, OH 43210 USA; Miami Univ, Dept Zool, Oxford, OH 45056 USA</t>
  </si>
  <si>
    <t>University System of Ohio; Ohio State University; University System of Ohio; Miami University</t>
  </si>
  <si>
    <t>Benoit, JB (corresponding author), Ohio State Univ, Dept Entomol, 318 W 12th Ave, Columbus, OH 43210 USA.</t>
  </si>
  <si>
    <t>benoit.8@osu.edu</t>
  </si>
  <si>
    <t>Lopez-Martinez, Giancarlo/D-1718-2011; Lopez-Martinez, Giancarlo/AAE-8134-2020</t>
  </si>
  <si>
    <t>Lopez-Martinez, Giancarlo/0000-0002-7937-5002; Lopez-Martinez, Giancarlo/0000-0002-7937-5002</t>
  </si>
  <si>
    <t>0022-1910</t>
  </si>
  <si>
    <t>1879-1611</t>
  </si>
  <si>
    <t>J INSECT PHYSIOL</t>
  </si>
  <si>
    <t>J. Insect Physiol.</t>
  </si>
  <si>
    <t>10.1016/j.jinsphys.2007.04.006</t>
  </si>
  <si>
    <t>Entomology; Physiology; Zoology</t>
  </si>
  <si>
    <t>201WP</t>
  </si>
  <si>
    <t>WOS:000248863600004</t>
  </si>
  <si>
    <t>Sun, MY; Carroll, ML; Ambrose, WG; Clough, LM; Zou, L; Lopez, GR</t>
  </si>
  <si>
    <t>Sun, Ming-Yi; Carroll, Michael L.; Ambrose, William G., Jr.; Clough, Lisa M.; Zou, Li; Lopez, Glenn R.</t>
  </si>
  <si>
    <t>Rapid consumption of phytoplankton and ice algae by Arctic soft-sediment benthic communities:: Evidence using natural and 13C-labeled food materials</t>
  </si>
  <si>
    <t>JOURNAL OF MARINE RESEARCH</t>
  </si>
  <si>
    <t>PARTICULATE ORGANIC-MATTER; LONG-ISLAND SOUND; ANTARCTIC SEA-ICE; TROPHIC RELATIONSHIPS; FATTY-ACIDS; SEASONAL-VARIATION; PRIMARY PRODUCTIVITY; DIETARY LIPIDS; OXYGEN-DEMAND; BEAUFORT SEA</t>
  </si>
  <si>
    <t>Reduction of sea ice in the Arctic may significantly alter the relative fluxes of phytoplankton and ice algae to the seafloor. To examine the response of Arctic benthic communities to changing food supplies, we incubated sediment cores collected from two sites (Smeerenburg Fjord, northwest Svalbard in May 2003 and Storfjord Trench, Barents Sea in May 2004) with controlled additions of natural phytoplankton and ice algal assemblages, and laboratory-cultured C-13-labeled ice algae (Nitzschia frigida, in 2004 only). We measured sediment respiration, pigments, lipid biomarkers, and compound-specific delta C-13 signals over the course of incubations. Both communities responded rapidly to the addition of food materials: regardless of food type, concentrations of organic biomarkers (pigments and fatty acids) decreased to the levels of control cores within seven days. Although we found no evidence for selective ingestion of the different food types by macrofauna, fatty acids were differentially consumed. The enriched polyunsaturated fatty acids of the ice algae were preferentially utilized compared to saturated and monounsaturated fatty acids bound in ice algae. However, the saturated and monounsaturated fatty acids of phytoplankton (with depleted polyunsaturated fatty acids) are utilized more efficiently than those counterparts bound in ice algae. Bacterial activity was stimulated by food addition, indicated by the immediate increase of bacteria-specific fatty acids, but the direct assimilation of 13 C-labeled carbon into bacterial biomass was limited. Our results imply that Arctic benthic communities can meet their energetic requirements by altering strategies to assimilate different components from variable food supplies.</t>
  </si>
  <si>
    <t>Univ Georgia, Dept Marine Sci, Athens, GA 30602 USA; Akvaplan Niva, Polar Environm Ctr, N-9296 Tromso, Norway; Bates Coll, Dept Biol, Lewiston, ME 04240 USA; E Carolina Univ, Dept Biol, Greenville, NC 27858 USA; Ocean Univ China, Coll Environm Sci &amp; Engn, Qingdao 266003, Peoples R China; SUNY Stony Brook, Marine Sci Res Ctr, Stony Brook, NY 11794 USA</t>
  </si>
  <si>
    <t>University System of Georgia; University of Georgia; Akvaplan-niva; University of North Carolina; East Carolina University; Ocean University of China; State University of New York (SUNY) System; State University of New York (SUNY) Stony Brook</t>
  </si>
  <si>
    <t>Sun, MY (corresponding author), Univ Georgia, Dept Marine Sci, Athens, GA 30602 USA.</t>
  </si>
  <si>
    <t>mysun@uga.edu</t>
  </si>
  <si>
    <t>Carroll, Michael L./0000-0002-1530-6016</t>
  </si>
  <si>
    <t>SEARS FOUNDATION MARINE RESEARCH</t>
  </si>
  <si>
    <t>NEW HAVEN</t>
  </si>
  <si>
    <t>YALE UNIV, KLINE GEOLOGY LAB, 210 WHITNEY AVENUE, NEW HAVEN, CT 06520-8109 USA</t>
  </si>
  <si>
    <t>0022-2402</t>
  </si>
  <si>
    <t>1543-9542</t>
  </si>
  <si>
    <t>J MAR RES</t>
  </si>
  <si>
    <t>J. Mar. Res.</t>
  </si>
  <si>
    <t>10.1357/002224007782689094</t>
  </si>
  <si>
    <t>237MJ</t>
  </si>
  <si>
    <t>WOS:000251377900005</t>
  </si>
  <si>
    <t>Szeroczynska, K; Tatur, A; Weckström, J; Gasiorowski, M; Noryskiewicz, AM; Sienkiewicz, E</t>
  </si>
  <si>
    <t>Szeroczynska, Krystyna; Tatur, Andrzej; Weckstrom, Jan; Gasiorowski, Michal; Noryskiewicz, Agnieszka M.; Sienkiewicz, Elwira</t>
  </si>
  <si>
    <t>Holocene environmental history in northwest Finnish Lapland reflected in the multi-proxy record of a small subarctic lake</t>
  </si>
  <si>
    <t>JOURNAL OF PALEOLIMNOLOGY</t>
  </si>
  <si>
    <t>subarctic; Finnish Lapland; holocene; paleolimnology; pollen; diatoms; Cladocera; geochemistry; meromixis</t>
  </si>
  <si>
    <t>TREE-LINE AREA; SCANDES-MOUNTAINS; RADIOCARBON CALIBRATION; BRITISH-COLUMBIA; CLIMATE HISTORY; LEVEL CHANGES; SAND DUNES; ICE SHELF; NORTHERN; POLLEN</t>
  </si>
  <si>
    <t>A 2.5-m-long sediment core was retrieved from Lake Somaslampi, a small lake located in a kame field on the north slope of the Scandes Mountains in Finnish Lapland. Holocene environmental changes were inferred from the lithological, geochemical, pollen, diatom and Cladocera records stored in the lake sediment. The chronology was based on six radiocarbon AMS dates supported by a palynological control chronology. The sediment profile consists of a glacial sedimentary sequence truncated by a lacustrine one. A hiatus, tentatively correlated with climate cooling and advances of glaciers during the 8.2 ka yrs BP Finse cooling Event, occurs between these sequences. The glacial sequence was composed of fluvioglacial clastics, smoothly changing into glacio-lacustrine diatomaceous ooze deposited in a meromictic proglacial lake that covered the kame field. The meromixis was probably caused by the greater depth of the lake, the extended ice-cover, and the microbial mats covering large areas of the lake bottom. A distinct change in the biota of the glacio-lacustrine sediments indicates higher trophic conditions than during deposition of the fluvioglacial clastics. The late-Pleistocene vegetation was characterised by subarctic birch tundra vegetation (Betula-Salix-Ericaceae) with low biodiversity gradually changing to Betula-Pinus dominance in the early Holocene. The lake was deep and had a diatom inferred pH - 7 indicated also by the dominance of planktonic Cladocera. The base of the lacustrine sediment sequence (6,650-6,300 cal. BP) consisted of loess-rich sediment indicating an increase in eolian activity. This is also supported by the pollen record, which is dominated by more long-distant taxa such as Alnus and Pinus, and by the increased ON ratio of the sediment. After the initial meromictic phase of the lake, an abrupt lowering of the water level occurred. Lake Somaslampi was isolated from the larger Pre-Lake Somas basin and became holomictic, shallow, much warmer and more productive, until the deterioration of climate around 3,000 yr BP and the increased input of clastics from the tundra soils. The vegetation followed the general climatic trend by gradually changing from the dominance of Betula and Pinus to the dominance of more tundra-related vegetation like Poaceae and Cyperaceae. However, the higher frequencies of planktonic Cladocera and centric diatoms in the most recent sediments indicates higher trophic conditions, increased turbulence and a prolonged ice-free period, which can possibly be linked to the recent climate warming especially in areas of higher altitude and latitude.</t>
  </si>
  <si>
    <t>Univ Helsinki, Environm Change Res Unit, Dept Biol &amp; Environm Sci, FIN-00014 Helsinki, Finland; Polish Acad Sci, Inst Geol Sci, PL-00818 Warsaw, Poland; PAS, Ctr Ecol Res, PL-05092 Lomianki, Poland; PAS, Dept Antarctic Biol, PL-02141 Lomianki, Poland; Nicholas Copernicus Univ, Inst Archaeol, PL-87100 Torun, Poland</t>
  </si>
  <si>
    <t>University of Helsinki; Polish Academy of Sciences; Institute of Geological Sciences of the Polish Academy of Sciences; Polish Academy of Sciences; Polish Academy of Sciences; Nicolaus Copernicus University</t>
  </si>
  <si>
    <t>Weckström, J (corresponding author), Univ Helsinki, Environm Change Res Unit, Dept Biol &amp; Environm Sci, POB 65,Viikinkaari 1, FIN-00014 Helsinki, Finland.</t>
  </si>
  <si>
    <t>jan.weckstrom@helsinki.fi</t>
  </si>
  <si>
    <t>Weckström, Jan/N-7665-2013; Noryskiewicz, Agnieszka Maria/H-1473-2014</t>
  </si>
  <si>
    <t>Weckström, Jan/0000-0001-5604-617X; Gasiorowski, Michal/0000-0003-2610-4257; Noryskiewicz, Agnieszka Maria/0000-0002-9481-8684; Sienkiewicz, Elwira/0000-0002-8522-5481</t>
  </si>
  <si>
    <t>0921-2728</t>
  </si>
  <si>
    <t>1573-0417</t>
  </si>
  <si>
    <t>J PALEOLIMNOL</t>
  </si>
  <si>
    <t>J. Paleolimn.</t>
  </si>
  <si>
    <t>10.1007/s10933-006-9062-1</t>
  </si>
  <si>
    <t>Environmental Sciences; Geosciences, Multidisciplinary; Limnology</t>
  </si>
  <si>
    <t>Environmental Sciences &amp; Ecology; Geology; Marine &amp; Freshwater Biology</t>
  </si>
  <si>
    <t>182US</t>
  </si>
  <si>
    <t>WOS:000247530100003</t>
  </si>
  <si>
    <t>Wilchinsky, AV; Feltham, DL; Holland, PR</t>
  </si>
  <si>
    <t>Wilchinsky, Alexander V.; Feltham, Daniel L.; Holland, Paul R.</t>
  </si>
  <si>
    <t>The effect of a new drag-law parameterization on ice shelf water plume dynamics</t>
  </si>
  <si>
    <t>OVERFLOW; OCEAN; MODEL</t>
  </si>
  <si>
    <t>A drag law accounting for Ekman rotation adjacent to a flat, horizontal boundary is proposed for use in a plume model that is written in terms of the depth-mean velocity. The drag law contains a variable turning angle between the mean velocity and the drag imposed by the turbulent boundary layer. The effect of the variable turning angle in the drag law is studied for a plume of ice shelf water ( ISW) ascending and turning beneath an Antarctic ice shelf with draft decreasing away from the grounding line. As the ISW plume ascends the sloping ice shelf-ocean boundary, it can melt the ice shelf, which alters the buoyancy forcing driving the plume motion. Under these conditions, the typical turning angle is of order -10 degrees over most of the plume area for a range of drag coefficients ( the minus sign arises for the Southern Hemisphere). The rotation of the drag with respect to the mean velocity is found to be significant if the drag coefficient exceeds 0.003; in this case the plume body propagates farther along and across the base of the ice shelf than a plume with the standard quadratic drag law with no turning angle.</t>
  </si>
  <si>
    <t>UCL, CPOM, Dept Earth Sci, London WC1E 6BT, England; British Antarctic Survey, Cambridge CB3 0ET, England</t>
  </si>
  <si>
    <t>Wilchinsky, AV (corresponding author), UCL, CPOM, Dept Earth Sci, Gower St, London WC1E 6BT, England.</t>
  </si>
  <si>
    <t>aw@cpom.ucl.ac.uk</t>
  </si>
  <si>
    <t>Holland, Paul R/G-2796-2012</t>
  </si>
  <si>
    <t>Feltham, Daniel/0000-0003-2289-014X</t>
  </si>
  <si>
    <t>NERC [bas010014, cpom10001] Funding Source: UKRI; Natural Environment Research Council [bas010014, cpom10001] Funding Source: researchfish</t>
  </si>
  <si>
    <t>10.1175/JPO3093.1</t>
  </si>
  <si>
    <t>197JV</t>
  </si>
  <si>
    <t>WOS:000248552200003</t>
  </si>
  <si>
    <t>Doney, SC; Yeager, S; Danabasoglu, G; Large, WG; McWilliams, JC</t>
  </si>
  <si>
    <t>Doney, Scott C.; Yeager, Steve; Danabasoglu, Gokhan; Large, William G.; McWilliams, James C.</t>
  </si>
  <si>
    <t>Mechanisms governing interannual variability of upper-ocean temperature in a global ocean hindcast simulation</t>
  </si>
  <si>
    <t>DATA ASSIMILATION ANALYSIS; GENERAL-CIRCULATION MODEL; NORTH PACIFIC; HEAT-STORAGE; SYSTEM; PRECIPITATION; TRANSPORTS; DRIVEN; FLUXES; MASS</t>
  </si>
  <si>
    <t>The interannual variability in upper-ocean ( 0-400 m) temperature and governing mechanisms for the period 1968-97 are quantified from a global ocean hindcast simulation driven by atmospheric reanalysis and satellite data products. The unconstrained simulation exhibits considerable skill in replicating the observed interannual variability in vertically integrated heat content estimated from hydrographic data and monthly satellite sea surface temperature and sea surface height data. Globally, the most significant interannual variability modes arise from El Nino-Southern Oscillation and the Indian Ocean zonal mode, with substantial extension beyond the Tropics into the midlatitudes. In the well-stratified Tropics and subtropics, net annual heat storage variability is driven predominately by the convergence of the advective heat transport, mostly reflecting velocity anomalies times the mean temperature field. Vertical velocity variability is caused by remote wind forcing, and subsurface temperature anomalies are governed mostly by isopycnal displacements ( heave). The dynamics at mid-to high latitudes are qualitatively different and vary regionally. Interannual temperature variability is more coherent with depth because of deep winter mixing and variations in western boundary currents and the Antarctic Circumpolar Current that span the upper thermocline. Net annual heat storage variability is forced by a mixture of local air-sea heat fluxes and the convergence of the advective heat transport, the latter resulting from both velocity and temperature anomalies. Also, density-compensated temperature changes on isopycnal surfaces ( spice) are quantitatively significant.</t>
  </si>
  <si>
    <t>Woods Hole Oceanog Inst, Dept Marine Chem &amp; Geochem, 266 Woods Hole Rd, Woods Hole, MA 02543 USA; Natl Ctr Atmospher Res, Climate &amp; Global Dynam Div, Boulder, CO 80307 USA; Univ Calif Los Angeles, Dept Atmospher &amp; Ocean Sci, Los Angeles, CA USA</t>
  </si>
  <si>
    <t>Woods Hole Oceanographic Institution; National Center Atmospheric Research (NCAR) - USA; University of California System; University of California Los Angeles</t>
  </si>
  <si>
    <t>Doney, SC (corresponding author), Woods Hole Oceanog Inst, Dept Marine Chem &amp; Geochem, 266 Woods Hole Rd, Woods Hole, MA 02543 USA.</t>
  </si>
  <si>
    <t>sdoney@whoi.edu</t>
  </si>
  <si>
    <t>Doney, Scott/F-9247-2010</t>
  </si>
  <si>
    <t>Doney, Scott/0000-0002-3683-2437; Danabasoglu, Gokhan/0000-0003-4676-2732</t>
  </si>
  <si>
    <t>10.1175/JPO3089.1</t>
  </si>
  <si>
    <t>WOS:000248552200011</t>
  </si>
  <si>
    <t>Wilmshurst, JM; McGlone, MS; Leathwick, JR; Newnham, RM</t>
  </si>
  <si>
    <t>Wilmshurst, Janet M.; McGlone, Matt S.; Leathwick, John R.; Newnham, Rewi M.</t>
  </si>
  <si>
    <t>A pre-deforestation pollen-climate calibration model for New Zealand and quantitative temperature reconstructions for the past 18 000 years BP</t>
  </si>
  <si>
    <t>JOURNAL OF QUATERNARY SCIENCE</t>
  </si>
  <si>
    <t>pollen; climate; database; modern analogue technique; transfer function</t>
  </si>
  <si>
    <t>LAST GLACIAL MAXIMUM; NORTH-ISLAND; SOUTH ISLAND; VEGETATION RELATIONSHIPS; HOLOCENE VEGETATION; LATE PLEISTOCENE; YOUNGER DRYAS; FOREST; RECORD; RAIN</t>
  </si>
  <si>
    <t>Quantification of modern pollen rain-vegetation-climate relationships in New Zealand has been complicated by human destruction of at least 75% of the original forest cover since ca. 750 years BP, causing contemporary pollen rain over large areas to bear little resemblance to the pre-human vegetation. We use a pre-deforestation pollen database to circumvent this complication. The relationships between the pre-deforestation pollen assemblages and six climatic variables were explored using principal components analysis and constrained regressions (redundancy analyses). Quantitative estimates of the most significant climate variable (mean annual temperature) were made at seven lowland to montane fossil pollen sites from throughout New Zealand using the modern analogue technique and a transfer function. These showed an initial increase in mean annual temperature after 18000 cal. yr BP, a cooling at the time of the Antarctic Cold Reversal (centred on 13 500 cal. yr BP) and continuation of warming from ca. 12 000 cal. yr BP across the Younger Dryas chronozone, reaching a Holocene thermal optimum that may have been between 1.5 and 3 degrees C warmer than present and lasted from 9000 to 7000cal. yr BP depending on the site. Cooling to present-day temperatures was well advanced by 4000-3000 cal. yr BP. Copyright 2007 John Wiley &amp; Sons, Ltd.</t>
  </si>
  <si>
    <t>Landcare Res, Lincoln 7640, New Zealand; Natl Inst Water &amp; Atmospher Res, Hamilton, New Zealand; Univ Plymouth, Sch Geog, Plymouth PL4 8AA, Devon, England</t>
  </si>
  <si>
    <t>Landcare Research - New Zealand; National Institute of Water &amp; Atmospheric Research (NIWA) - New Zealand; University of Plymouth</t>
  </si>
  <si>
    <t>Wilmshurst, JM (corresponding author), Landcare Res, PO Box 40, Lincoln 7640, New Zealand.</t>
  </si>
  <si>
    <t>wilmshurstj@landcareresearch.co.nz</t>
  </si>
  <si>
    <t>Wilmshurst, Janet/O-8611-2019; Newnham, Rewi M/F-1111-2011</t>
  </si>
  <si>
    <t>Wilmshurst, Janet/0000-0002-4474-8569;</t>
  </si>
  <si>
    <t>0267-8179</t>
  </si>
  <si>
    <t>1099-1417</t>
  </si>
  <si>
    <t>J QUATERNARY SCI</t>
  </si>
  <si>
    <t>J. Quat. Sci.</t>
  </si>
  <si>
    <t>10.1002/jqs.1135</t>
  </si>
  <si>
    <t>180ZL</t>
  </si>
  <si>
    <t>WOS:000247406400009</t>
  </si>
  <si>
    <t>Francis, JM; Dunbar, GB; Dickens, GR; Sutherland, IA; Droxler, AW</t>
  </si>
  <si>
    <t>Francis, Jason M.; Dunbar, Gavin B.; Dickens, Gerald R.; Sutherland, Ian A.; Droxler, Andre W.</t>
  </si>
  <si>
    <t>Siliciclastic sediment across the north queensland margin (Australia): A Holocene perspective on reciprocal versus coeval deposition in tropical mixed siliciclastic-carbonate systems</t>
  </si>
  <si>
    <t>JOURNAL OF SEDIMENTARY RESEARCH</t>
  </si>
  <si>
    <t>GREAT-BARRIER-REEF; SEA-LEVEL RISE; BURDEKIN RIVER; CONTINENTAL-SHELF; HUMID TROPICS; MIDDLE SHELF; TRANSPORT; PLATFORM; STRATIGRAPHY; CIRCULATION</t>
  </si>
  <si>
    <t>According to conventional models of reciprocal sedimentation for tropical mixed siliciclastic-carbonate systems, shedding of carbonate material dominates slope and basin sedimentation during transgression and highstand while siliciclastic deposition dominates during lowstand. This understanding permeates the stratigraphic literature and is the accepted depositional model on the Great Barrier Reef (GBR) margin. The results of this study, however, document coeval carbonate and siliciclastic highstand deposition on the GBR slope and basin. Seafloor sediment from Queensland Trough slopes and basin floor cast of the GBR contains 20% to 50% terrigenous siliciclastic material. One hundred and twenty-six sediment samples were obtained from core tops and sediments grabs previously retrieved from shelf, slope, and basin environments of the North Queensland Margin. These samples were analyzed for their carbonate content, mineralogy, and major-element composition. The amount of terrigenous siliciclastic material in sediment from the North Queensland Margin can be approximated by three independent methods: (1) the noncarbonate residual, (2) the sum of quartz, clays, and feldspars, and (3) the sum of SiO2, Al2O3, Fe2O3, and TiO2. All three tracers show a distinct distribution of siliciclastic sediment across the margin. Shelf siliciclastic content is highest on the inner shelf, decreasing eastward toward the GBR, with the exception of relatively high siliciclastic content in several interreef passages. Queensland Trough siliciclastic content is highest on the slope and basin between 15 degrees and 17 degrees S latitude, decreasing to the south and east. Although the relative abundances of quartz and clay minerals vary across the margin, the chemistry suggests a similar origin for the siliciclastic material. Moreover, the zone of high siliciclastic abundance in Queensland Trough reflects enhanced siliciclastic accumulation. Siliciclastic material escapes the outer shelf to Queensland Trough through interreef passages between 15 degrees and 17 degrees S latitude. It is then focused to the south by ocean currents. Siliciclastic sediment is likely sourced from a combination of rivers transporting Holocene sediment to the GBR shelf and late Pleistocene sediment eroded from the outer shelf and reworked to Queensland Trough. Siliciclastic material crosses the shelf, although the mechanisms (e.g., river plumes, nepheloid layers, tidal currents, cyclones, mushroom jets) remain poorly constrained. However, shelf width is clearly an important factor in allowing cross-shelf transport to occur. Mass-balance calculations indicate that up to 13% of the late Holocene annual riverine sediment output may be delivered to Queensland Trough. Modern and ancient mixed system depositional models must be reevaluated to allow for the possibility of coeval siliciclastic and carbonate deposition.</t>
  </si>
  <si>
    <t>Rice Univ, Dept Earth Sci, Houston, TX 77005 USA; Univ Victoria, Antarctic Res Ctr, Wellington, New Zealand; James Cook Univ N Queensland, Sch Earth Sci, Townsville, Qld 4811, Australia</t>
  </si>
  <si>
    <t>Rice University; Victoria University Wellington; James Cook University</t>
  </si>
  <si>
    <t>Francis, JM (corresponding author), Rice Univ, Dept Earth Sci, Houston, TX 77005 USA.</t>
  </si>
  <si>
    <t>jfrancis@rice.edu</t>
  </si>
  <si>
    <t>Dickens, Gerald R/G-1222-2011</t>
  </si>
  <si>
    <t>Dickens, Gerald/0000-0003-2869-4860; Francis, Jason/0000-0001-8482-0185</t>
  </si>
  <si>
    <t>SEPM-SOC SEDIMENTARY GEOLOGY</t>
  </si>
  <si>
    <t>TULSA</t>
  </si>
  <si>
    <t>6128 EAST 38TH ST, STE 308, TULSA, OK 74135-5814 USA</t>
  </si>
  <si>
    <t>1527-1404</t>
  </si>
  <si>
    <t>1938-3681</t>
  </si>
  <si>
    <t>J SEDIMENT RES</t>
  </si>
  <si>
    <t>J. Sediment. Res.</t>
  </si>
  <si>
    <t>7-8</t>
  </si>
  <si>
    <t>10.2110/jsr.2007.057</t>
  </si>
  <si>
    <t>185CW</t>
  </si>
  <si>
    <t>WOS:000247689900004</t>
  </si>
  <si>
    <t>Castinel, A; Duignan, PJ; Pomroy, WE; López-Villalobos, N; Gibbs, NJ; Chilvers, BL; Wilkinsons, IS</t>
  </si>
  <si>
    <t>Castinel, A.; Duignan, P. J.; Pomroy, W. E.; Lopez-Villalobos, N.; Gibbs, N. J.; Chilvers, B. L.; Wilkinsons, I. S.</t>
  </si>
  <si>
    <t>Neonatal mortality in New Zealand sea lions (Phocarctos hooken) at Sandy Bay, Enderby Island, Auckland Islands from 1998 to 2005</t>
  </si>
  <si>
    <t>JOURNAL OF WILDLIFE DISEASES</t>
  </si>
  <si>
    <t>bacterial infection; health; hookworm infection; mortality; New Zealand sea lion; pathology; Phocarctos hookeri; pups</t>
  </si>
  <si>
    <t>ANTARCTIC FUR-SEAL; GRYPUS PUP MORTALITY; KLEBSIELLA-PNEUMONIAE; ARCTOCEPHALUS-GAZELLA; HARBOR SEALS; DENSITY-DEPENDENCE; PHOCINE DISTEMPER; DIVING BEHAVIOR; UNCINARIA SPP.; CALIFORNIA</t>
  </si>
  <si>
    <t>As part of a health survey of New Zealand sea lions (Phocarctos hookeri) on Enderby Island, Auckland Islands (50 degrees 30'S, 166 degrees 17'E), neonatal mortality was closely monitored at the Sandy Bay colony for seven consecutive years. Throughout the breeding seasons 1998-99 to 2004-05, more than 400 postmortem examinations were performed on pups found dead at this site. The primary causes of death were categorized as trauma (35%), bacterial infections (24%), hookworm infection (13%), starvation (13%), and stillbirth (4%). For most pups, more than one diagnosis was recorded. Every year, two distinct peaks of trauma were observed: the first associated with mature bulls fighting within the harem and the second with subadult males abducting pups. In 2001-02 and 2002-03, epidemics caused by Klebsiella pneumoniae increased mortality by three times the mean in nonepidemic years (10.2%). The increased mortality was attributed directly to acute suppurative infection due to the bacterium and also to an increase in traumatic deaths of debilitated pups. Parasitic infection with the hookworm Uncinaria spp. was a common finding in all pups older than three weeks of age and debilitation by the parasite may have contributed to increased susceptibility to other pathogens such as Klebsiella sp. or Salmonella sp. This study provides valuable quantitative data on the natural causes of neonatal mortality in New Zealand sea lions that can be used in demographic models for management of threatened species.</t>
  </si>
  <si>
    <t>Massey Univ, IVABS, New Zealand Wildlife Hlth Ctr, Palmerston North, New Zealand; Dept Conservat, Marine Conservat Unit, Wellington, New Zealand</t>
  </si>
  <si>
    <t>Castinel, A (corresponding author), Massey Univ, IVABS, New Zealand Wildlife Hlth Ctr, Private Bag 11-222, Palmerston North, New Zealand.</t>
  </si>
  <si>
    <t>aureliecastinel@yahoo.fr</t>
  </si>
  <si>
    <t>Lopez-Villalobos, Nicolas/O-3267-2013; Chilvers, B. Louise/AAV-1965-2021</t>
  </si>
  <si>
    <t>Chilvers, B. Louise/0000-0002-7657-4217; Pomroy, William/0000-0003-2578-1678; Lopez-Villalobos, Nicolas/0000-0001-6611-907X</t>
  </si>
  <si>
    <t>WILDLIFE DISEASE ASSOC, INC</t>
  </si>
  <si>
    <t>LAWRENCE</t>
  </si>
  <si>
    <t>810 EAST 10TH ST, LAWRENCE, KS 66044-8897 USA</t>
  </si>
  <si>
    <t>0090-3558</t>
  </si>
  <si>
    <t>1943-3700</t>
  </si>
  <si>
    <t>J WILDLIFE DIS</t>
  </si>
  <si>
    <t>J. Wildl. Dis.</t>
  </si>
  <si>
    <t>10.7589/0090-3558-43.3.461</t>
  </si>
  <si>
    <t>Veterinary Sciences</t>
  </si>
  <si>
    <t>202RO</t>
  </si>
  <si>
    <t>WOS:000248921100014</t>
  </si>
  <si>
    <t>Delille, B; Jourdain, B; Borges, AV; Tison, JL; Delille, D</t>
  </si>
  <si>
    <t>Delille, Bruno; Jourdain, Bruno; Borges, Alberto V.; Tison, Jean-Louis; Delille, Daniel</t>
  </si>
  <si>
    <t>Biogas (CO2, O2, dimethylsulfide) dynamics in spring Antarctic fast ice</t>
  </si>
  <si>
    <t>LIMNOLOGY AND OCEANOGRAPHY</t>
  </si>
  <si>
    <t>SEA-ICE; CARBONIC-ACID; DISSOCIATION-CONSTANTS; PRYDZ BAY; DMSP; DIMETHYLSULPHONIOPROPIONATE; BIOMASS; ALGAE; PHOTOSYNTHESIS; COMMUNITIES</t>
  </si>
  <si>
    <t>We studied the temporal variations of CO2, O-2, and dimethylsulfide (DMS) concentrations within three environments (sea-ice brine, platelet ice-like layer, and underlying water) in the coastal area of Adelie Land, Antarctica, during spring 1999 before ice breakup. Temporal changes were different among the three environments, while similar temporal trends were observed within each environment at all stations. The underlying water was always undersaturated in O-2 (around 85%) and oversaturated in CO2 at the deepest stations. O-2 concentrations increased in sea-ice brine as it melted, reaching oversaturation up to 160% due to the primary production by the sea-ice algae community (chlorophyll a in the bottom ice reached concentrations up to 160 mu g L-1 of bulk ice). In parallel, DMS concentrations increased up to 60 nmol L-1 within sea- ice brine and the platelet ice- like layer. High biological activity consumed CO2 and promoted the decrease of partial pressure of CO2 (pCO(2)). In addition, melting of pure ice crystals and calcium carbonate (CaCO3) dissolution promoted the shift from a state of CO2 oversaturation to a state of marked CO2 undersaturation (pCO(2) &lt; 30 dPa). On the whole, our results suggest that late spring land fast sea ice can potentially act as a sink of CO2 and a source of DMS for the neighbouring environments, i.e., the underlying water or/ and the atmosphere.</t>
  </si>
  <si>
    <t>Univ Liege, Interfac Ctr Marine Res, Unite Oceanog Chim, B-4000 Liege, Belgium; CNRS, UMR 5183, Lab Glaciol &amp; Geophys Environm, F-38402 St Martin Dheres, France; Univ Libre Bruxelles, Glaciol Unit, Dept Earth &amp; Environm Sci, B-1050 Brussels, Belgium; Univ Paris 06, CNRS, URA 117, Lab Arago,Observ Oceanol Banyuls, F-66650 Banyuls sur Mer, France</t>
  </si>
  <si>
    <t>University of Liege; Centre National de la Recherche Scientifique (CNRS); Universite Libre de Bruxelles; Centre National de la Recherche Scientifique (CNRS); Sorbonne Universite</t>
  </si>
  <si>
    <t>Delille, B (corresponding author), Univ Liege, Interfac Ctr Marine Res, Unite Oceanog Chim, Allee 6 Aout 17, B-4000 Liege, Belgium.</t>
  </si>
  <si>
    <t>Bruno.Delille@ulg.ac.be</t>
  </si>
  <si>
    <t>Daniel, Delille/S-9542-2019; Borges, Alberto Vieira/C-4989-2008; Delille, Bruno/C-3486-2008; Tison, Jean-Louis/F-4065-2015</t>
  </si>
  <si>
    <t>Borges, Alberto Vieira/0000-0002-5434-2247; Delille, Bruno/0000-0003-0502-8101; Tison, Jean-Louis/0000-0002-9758-3454</t>
  </si>
  <si>
    <t>0024-3590</t>
  </si>
  <si>
    <t>1939-5590</t>
  </si>
  <si>
    <t>LIMNOL OCEANOGR</t>
  </si>
  <si>
    <t>Limnol. Oceanogr.</t>
  </si>
  <si>
    <t>10.4319/lo.2007.52.4.1367</t>
  </si>
  <si>
    <t>Limnology; Oceanography</t>
  </si>
  <si>
    <t>192QB</t>
  </si>
  <si>
    <t>WOS:000248215800008</t>
  </si>
  <si>
    <t>van de Poll, WH; Visser, RJW; Buma, AGJ</t>
  </si>
  <si>
    <t>van de Poll, Willem H.; Visser, Ronald J. W.; Buma, Anita G. J.</t>
  </si>
  <si>
    <t>Acclimation to a dynamic irradiance regime changes excessive irradiance sensitivity of Emiliania huxleyi and Thalassiosira weissflogii</t>
  </si>
  <si>
    <t>ULTRAVIOLET-RADIATION; MARINE DIATOM; FLUCTUATING IRRADIANCE; PIGMENT COMPOSITION; ANTARCTIC DIATOM; CELL-DEATH; PHOTOSYNTHESIS; PHYTOPLANKTON; PHOTOACCLIMATION; GROWTH</t>
  </si>
  <si>
    <t>Effects of fluctuating irradiance regimes on excessive photosynthetically active radiation (PAR) and ultraviolet (UV) radiation sensitivity were assessed for Emiliania huxleyi (Lohman) and Thalassiosira weissflogii (Grunow) Fryxell and Hasle. Cultures acclimated to low irradiance were subjected to two irradiance regimes of equal daily dose: dynamic irradiance simulating vertical mixing within the water column and constant irradiance. For each regime two irradiance levels were studied. Growth was monitored for 3 d, after which pigment composition was determined. Next, excessive PAR and UV sensitivity was measured by studying viability loss during 4-h exposure to simulated surface irradiance (SSI). Furthermore, the effects of inhibition of D1 reaction center protein turnover were investigated by incubating samples with lincomycin prior to exposure. Dynamic irradiance reduced growth rates of both species as compared to constant irradiance. Pools of light-harvesting pigments increased in dynamic irradiance, whereas the protective pigment pools decreased compared to constant irradiance. Excessive irradiance sensitivity was enhanced in cells grown in fluctuating irradiance. Furthermore, viability loss was most pronounced in UV treatments combined with lincomycin. E. huxleyi was more sensitive to excessive irradiance than T. weissflogii, which coincided with a lower ratio between protective and light-harvesting pigments in the former species. Irradiance modulation by deep vertical mixing influences growth, pigment composition, and excessive PAR and UV sensitivity within days.</t>
  </si>
  <si>
    <t>Univ Groningen, Dept Ocean Ecosyst, Ctr Ecol &amp; Evolut Studies, NL-9750 AA Haren, Netherlands</t>
  </si>
  <si>
    <t>University of Groningen</t>
  </si>
  <si>
    <t>van de Poll, WH (corresponding author), Univ Groningen, Dept Ocean Ecosyst, Ctr Ecol &amp; Evolut Studies, POB 14, NL-9750 AA Haren, Netherlands.</t>
  </si>
  <si>
    <t>W.H.van.de.Poll@rug.nl</t>
  </si>
  <si>
    <t>Buma, Anita GJ/E-8372-2015</t>
  </si>
  <si>
    <t>van de Poll, Willem/0000-0003-4095-4338</t>
  </si>
  <si>
    <t>10.4319/lo.2007.52.4.1430</t>
  </si>
  <si>
    <t>WOS:000248215800013</t>
  </si>
  <si>
    <t>Connan, M; Cherel, Y; Mabille, G; Mayzaud, P</t>
  </si>
  <si>
    <t>Connan, Maelle; Cherel, Yves; Mabille, Geraldine; Mayzaud, Patrick</t>
  </si>
  <si>
    <t>Trophic relationships of white-chinned petrels from Crozet Islands: combined stomach oil and conventional dietary analyses</t>
  </si>
  <si>
    <t>FATTY-ACID-COMPOSITION; SOUTHERN-OCEAN; PELAGIC SEABIRD; STABLE-ISOTOPES; FOOD-WEB; HALOBAENA-CAERULEA; MYCTOPHID FISHES; FEEDING ECOLOGY; FORAGING TRIPS; KERGUELEN</t>
  </si>
  <si>
    <t>The diet of white-chinned petrels Procellaria aequinoctialis breeding at the Crozet Archipelago (southern Indian Ocean) was studied using two complementary methods: lipid analysis of stomach oils as trophic markers together with the conventional dietary approach (i.e., stomach content analysis). Objectives were (1) to investigate the adult diet when they feed for themselves by analyzing stomach oil lipids, and (2) to compare the lipid signature of chick and adult oils. Stomach oils mainly consisted of triacylglycerols (TAG), diacylglycerol-ethers (DAGE) and wax esters (WE) (66, 14 and 11%, respectively). The dietary origin of TAG and WE was evaluated by linear discriminant analyses with fatty acid and fatty alcohol fractions. Analyses evidenced that stomach oils did not originate from Antarctic krill, but instead from myctophid fish, thus demonstrating the importance of mesopelagic fish in the nutrition of adult petrels. This result was consistent with the identification of digested remains of myctophids recovered from adult stomach contents after long foraging trips. Large amounts of a rare lipid class, DAGE (up to 76% of total lipids), were identified in two stomach oils, together with fresh remains of the squid Gonatus antarcticus (99% by mass), suggesting that DAGE could have the potential to be trophic markers of cephalopods. Moreover, six oils probably originated from Patagonian toothfish, thus confirming strong interactions between white-chinned petrels and fisheries. Comparison between chick and adult stomach oils indicated no major differences in their biochemical composition suggesting an identical dietary origin of oils, mainly myctophids. Both adult and chick oils can therefore be used to determine the feeding ecology of adult birds when they feed far away from their breeding grounds. Finally, food analysis of chick samples and adult samples collected after short and long trips indicated different foraging grounds during the two kinds of trips, and also between long trips performed in subtropical and Antarctic waters.</t>
  </si>
  <si>
    <t>CNRS, UPR 1934, Ctr Etudes Biol Chize, F-79360 Villiers En Bois, France; Univ Paris 06, CNRS, UMR 7093, Villefranche Sur Mer, France</t>
  </si>
  <si>
    <t>Centre National de la Recherche Scientifique (CNRS); Sorbonne Universite; Centre National de la Recherche Scientifique (CNRS); CNRS - National Institute for Earth Sciences &amp; Astronomy (INSU)</t>
  </si>
  <si>
    <t>Cherel, Y (corresponding author), CNRS, UPR 1934, Ctr Etudes Biol Chize, BP 14, F-79360 Villiers En Bois, France.</t>
  </si>
  <si>
    <t>Connan, Maelle/A-8468-2008</t>
  </si>
  <si>
    <t>Connan, Maelle/0000-0002-1308-9118</t>
  </si>
  <si>
    <t>10.1007/s00227-007-0664-6</t>
  </si>
  <si>
    <t>181YG</t>
  </si>
  <si>
    <t>WOS:000247471700010</t>
  </si>
  <si>
    <t>Collins, MA; Ross, KA; Belchier, M; Reid, K</t>
  </si>
  <si>
    <t>Collins, Martin A.; Ross, Katherine A.; Belchier, Mark; Reid, Keith</t>
  </si>
  <si>
    <t>Distribution and diet of juvenile patagonian toothfish on the south Georgia and shag rocks shelves (Southern ocean)</t>
  </si>
  <si>
    <t>SEALS ARCTOCEPHALUS-GAZELLA; DISSOSTICHUS-ELEGINOIDES SMITT; PENGUIN PYGOSCELIS-PAPUA; APTENODYTES PATAGONICUS; TEMPORAL VARIATION; MACQUARIE ISLAND; BREEDING-SEASON; DEMERSAL FISH; FISHERIES; ALBATROSSES</t>
  </si>
  <si>
    <t>The distribution and diet of juvenile (&lt; 750 mm) Patagonian toothfish are described from four annual trawl surveys (2003-2006) around the island of South Georgia in the Atlantic sector of the Southern Ocean. Recruitment of toothfish varies inter-annually, and a single large cohort dominated during the four years surveyed. Most juveniles were caught on the Shag Rocks shelf to the NW of South Georgia, with fish subsequently dispersing to deeper water around both the South Georgia and Shag Rocks shelves. Mean size of juvenile toothfish increased with depth of capture. Stomach contents analysis was conducted on 795 fish that contained food remains and revealed that juvenile toothfish are essentially piscivorous, with the diet dominated by notothenid fish. The yellow-finned notothen, Patagonotothen guntheri, was the dominant prey at Shag Rocks whilst at South Georgia, where P. guntheri is absent, the dominant prey were Antarctic krill and notothenid fish. The diet changed with size, with an increase in myctophid fish and krill as toothfish grow and disperse. The size of prey also increased with fish size, with a greater range of prey sizes consumed by larger fish.</t>
  </si>
  <si>
    <t>Collins, MA (corresponding author), British Antarctic Survey, Nat Environm Res Council, High Cross,Madingley Rd, Cambridge CB3 0ET, England.</t>
  </si>
  <si>
    <t>macol@bas.ac.uk</t>
  </si>
  <si>
    <t>, Martin/ABE-6728-2020; Collins, Martin A/J-8560-2017</t>
  </si>
  <si>
    <t>, Martin/0000-0001-7132-8650;</t>
  </si>
  <si>
    <t>10.1007/s00227-007-0667-3</t>
  </si>
  <si>
    <t>WOS:000247471700014</t>
  </si>
  <si>
    <t>Luque, SP; Arnould, JPY; Miller, EH; Cherel, Y; Guinet, C</t>
  </si>
  <si>
    <t>Luque, Sebastian P.; Arnould, John P. Y.; Miller, Edward H.; Cherel, Yves; Guinet, Christophe</t>
  </si>
  <si>
    <t>Foraging behaviour of sympatric Antarctic and subantarctic fur seals: does their contrasting duration of lactation make a difference?</t>
  </si>
  <si>
    <t>MATERNAL-ATTENDANCE PATTERNS; ARCTOCEPHALUS-GAZELLA; AMSTERDAM ISLAND; DIVING BEHAVIOR; MARION ISLAND; MACQUARIE ISLAND; SEASONAL-CHANGES; SOUTHERN-OCEAN; PUP GROWTH; DIET</t>
  </si>
  <si>
    <t>The duration of periods spent ashore versus foraging at sea, diving behaviour, and diet of lactating female Antarctic (Arctocephalus gazella, AFS) and subantarctic (A. tropicalis, SFS) fur seals were compared at Iles Crozet, where both species coexist. The large disparity in lactation duration (SFS: 10 months, AFS: 4 months), even under local sympatry, has led to the expectation that AFS should exhibit higher foraging effort or efficiency per unit time than SFS to allow them to wean their pups in a shorter period of time. Previous evidence, however, has not supported these expectations. In this study, the distribution of foraging trip durations revealed two types of trips: overnight (OFT, &lt; 1 day) and long (LFT, &gt; 1 day), in common with other results from Macquarie Island. However, diving behaviour differed significantly between foraging trip types, with greater diving effort in OFTs than in LFTs, and diving behaviour differed between fur seal species. OFTs were more frequent in SFS (48%) than in AFS (28%). SFS performed longer LFTs and maternal attendances than AFS, but spent a smaller proportion of their foraging cycle at sea (66.2 vs. 77.5%, respectively). SFS dove deeper and for longer periods than AFS, in both OFTs and LFTs, although indices of diving effort were similar between species. Diel variation in diving behaviour was lower among SFS, which foraged at greater depths during most of the night time available than AFS. The diving behaviour of AFS suggests they followed the nychthemeral migration of their prey more closely. Concomitant with the differences in diving behaviour, AFS and SFS fed on the same prey species, but in different proportions of three myctophid fish (Gymnoscopelus fraseri, G. piabilis, and G. nicholsi) that represented most of their diet. The estimated size of the most important fish consumed did not vary significantly between fur seal species, suggesting that the difference in dive depth was mostly a result of changes in the relative abundance of these myctophids. The energy content of these fish at Iles Crozet may thus influence the amount and quality of milk delivered to pups of each fur seal species. These results contrast with those found at other sites where both species coexist, and revealed a scale of variation in foraging behaviour which did not affect their effort while at sea, but that may be a major determinant of foraging efficiency and, consequently, maternal investment.</t>
  </si>
  <si>
    <t>Mem Univ Newfoundland, Dept Biol, St John, NF A1B 3X9, Canada; Deakin Univ, Sch Life &amp; Environm Sci, F-79360 Villiers En Bois, France</t>
  </si>
  <si>
    <t>Memorial University Newfoundland</t>
  </si>
  <si>
    <t>Luque, SP (corresponding author), Mem Univ Newfoundland, Dept Biol, St John, NF A1B 3X9, Canada.</t>
  </si>
  <si>
    <t>sluque@mun.ca</t>
  </si>
  <si>
    <t>Guinet, Christophe/AAR-8457-2020</t>
  </si>
  <si>
    <t>10.1007/s00227-007-0677-1</t>
  </si>
  <si>
    <t>WOS:000247471700021</t>
  </si>
  <si>
    <t>Lannuzel, D; Schoemann, V; de Jong, J; Tison, JL; Chou, L</t>
  </si>
  <si>
    <t>Lannuzel, Delphine; Schoemann, Veronique; de Jong, Jeroen; Tison, Jean-Louis; Chou, Lei</t>
  </si>
  <si>
    <t>Distribution and biogeochemical behaviour of iron in the East Antarctic sea ice</t>
  </si>
  <si>
    <t>iron biogeochemistry; Fe inputs; sea ice; east Antarctica</t>
  </si>
  <si>
    <t>CONTINENTAL-SHELF; ROSS SEA; OCEAN; PHYTOPLANKTON; DEPOSITION; SALINITY; GROWTH; LIMITATION; MANGANESE; SEDIMENT</t>
  </si>
  <si>
    <t>We have attempted to evaluate the relative importance, compared to other possible sources, of sea ice in supplying Fe to East Antarctic surface ocean waters. Samples of snow, brine, seawater and sea ice were collected and processed for Fe analysis during the ARISE in the East Antarctic cruise during September-October 2003 (64 degrees-65 degrees S/112 degrees-119 degrees E, RV Aurora Australis). Total-dissolvable and dissolved Fe concentrations were measured together with relevant physical, chemical and biological parameters. The most striking feature we observed is that total-dissolvable Fe concentrations in sea ice were up to an order of magnitude higher than those measured in the underlying seawater. Moreover, total-dissolvable Fe in sea ice is more concentrated at cold winter type stations than at the warm spring ones. This probably results from the enhanced ice permeability as spring arrives, which allows brine drainage within the ice cover and renders exchanges with the water column possible. During the melting period, iron inputs to surface waters from sea ice may represent as much as 70% of the estimated daily total flux into surface seawater when taking into account available data on dust deposition, extraterrestrial iron, vertical diffusion and upwelling. Our results highlight the potentially important contribution of pack ice to the Fe biogeochemical cycle in the East Antarctic oceanic Ecosystem. (C) 2006 Elsevier B.V. All rights reserved.</t>
  </si>
  <si>
    <t>Univ Libre Bruxelles, Lab Oceanog Chim &amp; Geochim Eaux, B-1050 Brussels, Belgium; Univ Libre Bruxelles, Unite Glaciol, B-1050 Brussels, Belgium</t>
  </si>
  <si>
    <t>Universite Libre de Bruxelles; Universite Libre de Bruxelles</t>
  </si>
  <si>
    <t>Lannuzel, D (corresponding author), Univ Libre Bruxelles, Lab Oceanog Chim &amp; Geochim Eaux, Campus Pl CP 208,Bd Triomphe, B-1050 Brussels, Belgium.</t>
  </si>
  <si>
    <t>dlannuze@ulb.ac.be</t>
  </si>
  <si>
    <t>de Jong, Jeroen/F-3190-2011; Tison, Jean-Louis/F-4065-2015; lannuzel, delphine/J-7937-2014</t>
  </si>
  <si>
    <t>de Jong, Jeroen/0000-0002-3034-5929; Tison, Jean-Louis/0000-0002-9758-3454; lannuzel, delphine/0000-0001-6154-1837</t>
  </si>
  <si>
    <t>10.1016/j.marchem.2006.06.010</t>
  </si>
  <si>
    <t>213CQ</t>
  </si>
  <si>
    <t>WOS:000249643900003</t>
  </si>
  <si>
    <t>Jacquet, SHM; Dehairs, F; Elskens, M; Savoye, N; Cardinal, D</t>
  </si>
  <si>
    <t>Jacquet, S. H. M.; Dehairs, F.; Elskens, M.; Savoye, N.; Cardinal, D.</t>
  </si>
  <si>
    <t>Barium cycling along WOCE SR3 line in the Southern Ocean</t>
  </si>
  <si>
    <t>Southern Ocean; Ba-nutrients; Ba-alkalinity relationship; dissolved and particulate barium dynamics</t>
  </si>
  <si>
    <t>POLAR FRONTAL ZONES; SUSPENDED PARTICLES; MARINE BARITE; WATER; EXPORT; CIRCULATION; AUSTRALIA; GEOCHEMISTRY; CONSTRAINTS; ALKALINITY</t>
  </si>
  <si>
    <t>Spring and summer profiles of dissolved and particulate barium (Ba) from WOCE SR3 line (145 degrees E) in the Southern Ocean are compared and seasonal evolutions discussed. Fluxes are estimated from mass conservation equations and from differences in reservoir contents between seasons. Subtraction of barium is observed at mesopelagic depths (upper 600 m) and appears to exceed up to tenfold the combined local build-up and the deep-ocean fluxes of particulate Ba, pointing towards significant dissolution to take place in intermediate and deep waters. Although regression analyses identify silicate as the major predictor of dissolved Ba, Ba and silicate are clearly uncoupled in surface waters where Ba behaves more similar to nitrate, excluding diatoms as users of Ba. Moreover, we observe a southward decrease in the Ba vs. silicate regression slopes driven by the conditions in intermediate and deep waters and mainly marked by the location of the Polar Front. These findings corroborate existing knowledge about the predominant control by barite formation and dissolution on the oceanic Ba cycle. It suggests a decreased dissolution of barite south of the Polar Front as compared to the situation in the Polar Front Zone and the Subantarctic Zone. This is in agreement with the fact that, except for deep waters, the Antarctic Circumpolar Current water column is oversaturated with respect to barite, in contrast to the situation north of the Polar Front, where the whole water column is undersaturated [Jeandel C., B. Dupre, G. Lebaron, C. Monnin and J.F. Minster, 1996. Longitudinal distributions of dissolved barium, silica and alkalinity in the western and southern Indian Ocean. Deep-Sea Res. 1, 43 (1), 1-31; Monnin, C., C. Jeandel, T. Cattaldo and F. Dehairs, 1999. The marine barite saturation state of the world's ocean. Mar. Chem., 65, 253-261]. (C) 2006 Elsevier B.V. All rights reserved.</t>
  </si>
  <si>
    <t>Vrije Univ Brussel, Dept Analyt &amp; Environm Chem, B-1050 Brussels, Belgium; Royal Museum Cent African, Dept Geol, B-3080 Tervuren, Belgium; Ctr Oceanol Marseille, Lab Oceanog &amp; Biogeochim, Marseille, France</t>
  </si>
  <si>
    <t>Vrije Universiteit Brussel; Royal Museum for Central Africa</t>
  </si>
  <si>
    <t>Jacquet, SHM (corresponding author), Vrije Univ Brussel, Dept Analyt &amp; Environm Chem, Pleinlann 2, B-1050 Brussels, Belgium.</t>
  </si>
  <si>
    <t>sjacquet@vub.ac.be</t>
  </si>
  <si>
    <t>Cardinal, Damien/AAM-6215-2021; jacquet, stéphanie/K-8678-2016</t>
  </si>
  <si>
    <t>Cardinal, Damien/0000-0003-1238-8412; Elskens, Marc/0000-0002-8862-9422</t>
  </si>
  <si>
    <t>10.1016/j.marchem.2006.06.007</t>
  </si>
  <si>
    <t>WOS:000249643900004</t>
  </si>
  <si>
    <t>Cardinal, D; Savoye, N; Trull, TW; Dehairs, F; Kopczynska, EE; Fripiat, F; Tison, JL; Andre, L</t>
  </si>
  <si>
    <t>Cardinal, Damien; Savoye, Nicolas; Trull, Thomas W.; Dehairs, Frank; Kopczynska, Elzbieta E.; Fripiat, Frangois; Tison, Jean-Louis; Andre, Luc</t>
  </si>
  <si>
    <t>Silicon isotopes in spring Southern Ocean diatoms: Large zonal changes despite homogeneity among size fractions</t>
  </si>
  <si>
    <t>diatoms; silicon isotopes; silicon cycle; isotope fractionation; nutrient cycles; Southern Ocean</t>
  </si>
  <si>
    <t>POLAR FRONTAL ZONE; BIOGENIC SILICA; STABLE-ISOTOPES; ATLANTIC SECTOR; IRON AVAILABILITY; INORGANIC CARBON; CELL-CYCLE; NITROGEN; PHYTOPLANKTON; SURFACE</t>
  </si>
  <si>
    <t>We determine Southern Ocean diatom silicon isotopic signatures and compare them with the previously published data for dissolved silicic acid from the same locations. Five stations distributed along the WOCE SR-3 transect (Australian Sector of the Southern Ocean) in different biogeochemical provinces are presented: Polar Front and Inter-Polar Front Zones (PFZ-IPFZ), Southern Antarctic Zone (AZ-S), Seasonal Ice Zone (SIZ). Total (&gt;0.4 mu m), medium-sized (20-70 mu m), and large diatoms (&gt;70 mu m) were sampled at 2-4 depths in the upper 150 in. Silicon isotopic compositions of biogenic silica (diatoms) and seawater were then measured by MC-ICP-MS, in dry plasma mode using external Mg doping. Results are expressed as delta Si-29 relative to the NBS28 standard. The isotopic composition of diatoms (delta Si-29(BSi)) is generally homogeneous in the mixed layer and does not exhibit a systematic isotopic fractionation linked to a size effect. delta Si-29(Bsi) are always lighter than the ambient dissolved silicic acid signatures (delta Si-29(Dsi)), reflecting the preferential uptake of light isotopes by diatoms. A trend of lighter isotopic signatures southward is observed both in diatoms and seawater samples but the delta Si-29(BSi) latitudinal gradient is much steeper. A diatom signature as low as -0.26 parts per thousand in the southernmost SIZ station strongly contrasts with the +0.65 parts per thousand signature measured on PFZ diatoms. The difference between the ambient dissolved silicic acid and diatom isotopic signatures, Delta Si-29, strongly increases southward: from 0.4 in the PFZ up to 1.08%o in the SIZ. This points toward occurrence of mixing events in the PFZ-IPFZ with diatoms not being under equilibrium with their surrounding water and/or, possible variation of the diatom-seawater equilibrium fractionation factor, (29)epsilon. Apart from mixing, we found that the other parameters likely responsible of such variation are temperature, dissolved Si contents and, Si specific uptake and dissolution rates although at this stage none of these could be clearly recognized as the leading cause. Thorough examination of these parameters through in vitro experiments reflecting the extreme Southern Ocean conditions is needed to determine whether the observed latitudinal variation of Delta Si-29 reflects real variable fractionation or results from nonequilibrium or different time-scales recorded between dissolved and biogenic Si isotopic signatures. Our results also call for the development of more realistic models for describing short-term isotopic composition changes due to e.g. Si consumption, export and resupply via mixing. Finally, by comparing delta Si-29(BSi) within and below the mixed layer, we could identify a two-step history of the PFZ-IPFZ bloom in contrast to the recently started diatom bloom in the SIZ. (C) 2006 Elsevier B.V. All rights reserved.</t>
  </si>
  <si>
    <t>Royal Museum Cent Africa, Sect Mineral &amp; Petrog, Dept Geol &amp; Mineral, Tervuren, Belgium; Vrije Univ Brussel, Dept Analyt &amp; Environm Chem, Brussels, Belgium; Univ Tasmania, CSIRO Marine Res, Antartic Climate &amp; Ecosyst Cooperat Res Ctr, Hobart, Tas, Australia; Polish Acad Sci, Dept Antartic Biol, Warsaw, Poland; Univ Libre Bruxelles, Dept Sci Terre &amp; Environm, Lab Glaciol Polaire, Brussels, Belgium</t>
  </si>
  <si>
    <t>Royal Museum for Central Africa; Vrije Universiteit Brussel; Commonwealth Scientific &amp; Industrial Research Organisation (CSIRO); University of Tasmania; Polish Academy of Sciences; Universite Libre de Bruxelles</t>
  </si>
  <si>
    <t>Cardinal, D (corresponding author), Royal Museum Cent Africa, Sect Mineral &amp; Petrog, Dept Geol &amp; Mineral, Tervuren, Belgium.</t>
  </si>
  <si>
    <t>damien.cardinal@africamuseum.be</t>
  </si>
  <si>
    <t>Trull, Tom W/B-7028-2014; Fripiat, François/ABB-8918-2021; Cardinal, Damien/AAM-6215-2021; Tison, Jean-Louis/F-4065-2015</t>
  </si>
  <si>
    <t>Cardinal, Damien/0000-0003-1238-8412; Andre, Luc/0000-0002-7286-0072; Tison, Jean-Louis/0000-0002-9758-3454; Fripiat, Francois/0000-0002-2591-6301</t>
  </si>
  <si>
    <t>10.1016/j.marchem.2006.04.006</t>
  </si>
  <si>
    <t>WOS:000249643900005</t>
  </si>
  <si>
    <t>Rouget, PA; Terhune, JM; Burton, HR</t>
  </si>
  <si>
    <t>Rouget, P. A.; Terhune, J. M.; Burton, H. R.</t>
  </si>
  <si>
    <t>Weddell seal underwater calling rates during the winter and spring near Mawson Station, Antarctica</t>
  </si>
  <si>
    <t>MARINE MAMMAL SCIENCE</t>
  </si>
  <si>
    <t>Weddell seal; Leptonychotes weddellii; vocalization; Mawson Station; Antarctica; diel activity; seasonality; photoperiod; fast ice</t>
  </si>
  <si>
    <t>LEPTONYCHOTES-WEDDELLII; FORAGING BEHAVIOR; DIVING BEHAVIOR; MCMURDO-SOUND; MOVEMENTS; ICE; VOCALIZATIONS; ECOLOGY</t>
  </si>
  <si>
    <t>Underwater vocalization monitoring and surveys, both on ice and underwater, were used to determine if Weddell seals (Leptonychotes weddellii) near Mawson Station, Antarctica, remain under the fast ice during winter within close range of breeding sites. Daytime and nighttime underwater calling rates were examined at seven breeding sites during austral winter and spring to identify seasonal and diel patterns. Seals rarely hauled out at any of the sites during winter, although all cohorts (adult males, females, and juveniles) were observed underwater and surfacing at breathing holes throughout winter (June-September) and spring (October-December). Seal vocalizations were recorded during each sampling session throughout the study (n = 102 daytime at seven sites collectively, and n = 5 24-h samples at each of two sites). Mean daytime calling rate was low in mid-winter (July) (mean = 18.9 +/- 7.1 calls/min) but increased monthly, reaching a peak during the breeding season (November) (mean = 62.6 +/- 15.7 calls/min). Mean nighttime calling rate was high throughout the winter and early spring (July-October) with mean nocturnal calling rate in July (mean = 61.8 +/- 35.1 calls/min) nearly equal to mean daytime calling rate in November (during 24-h daylight). Reduced vocal behavior during winter daylight periods may result from animals utilizing the limited daylight hours for nonvocal activities, possibly feeding.</t>
  </si>
  <si>
    <t>Univ New Brunswick, Dept Biol, St John, NB E2L 4L5, Canada; Australian Antarctic Div, Kingston, Tas 7150, Australia</t>
  </si>
  <si>
    <t>University of New Brunswick; Australian Antarctic Division</t>
  </si>
  <si>
    <t>Terhune, JM (corresponding author), Univ New Brunswick, Dept Biol, St John, NB E2L 4L5, Canada.</t>
  </si>
  <si>
    <t>terhune@unbsj.ca</t>
  </si>
  <si>
    <t>Terhune, John/0000-0002-2661-7389</t>
  </si>
  <si>
    <t>0824-0469</t>
  </si>
  <si>
    <t>1748-7692</t>
  </si>
  <si>
    <t>MAR MAMMAL SCI</t>
  </si>
  <si>
    <t>Mar. Mamm. Sci.</t>
  </si>
  <si>
    <t>10.1111/j.1748-7692.2007.00129.x</t>
  </si>
  <si>
    <t>178FF</t>
  </si>
  <si>
    <t>WOS:000247205900003</t>
  </si>
  <si>
    <t>Tampieri, F; Maurizi, A</t>
  </si>
  <si>
    <t>Tampieri, F.; Maurizi, A.</t>
  </si>
  <si>
    <t>Evaluation of the dispersion coefficient for numerical simulations of tropospheric transport</t>
  </si>
  <si>
    <t>NUOVO CIMENTO C-COLLOQUIA AND COMMUNICATIONS IN PHYSICS</t>
  </si>
  <si>
    <t>Data of velocity spectra in wave number and frequency space available in literature are analysed to estimate climatological values of the dissipation rate of kinetic energy e. In the frame of Kolmogorov (1941) theory, the relationship between diffusion coefficient and spectral window is used to determine the diffusion coefficient as a function of resolved scale. To exploit frequency spectrum data with a limited knowledge of flow conditions, a hypothesis on the relationship between the Eulerian time scale and the sampling temporal window was formulated, and the implied empirical constant was determined. Using the obtained values and some recent similarity relationships for the boundary-layer, a parameterisation of e was adopted to propose an expression of the horizontal dispersion coefficient for different heights and different scales, which is suitable for use in numerical models with special reference to climate applications.</t>
  </si>
  <si>
    <t>[Tampieri, F.; Maurizi, A.] ISAC CNR, Bologna, Italy</t>
  </si>
  <si>
    <t>Consiglio Nazionale delle Ricerche (CNR); Istituto di Scienze dell'Atmosfera e del Clima (ISAC-CNR)</t>
  </si>
  <si>
    <t>Tampieri, F (corresponding author), ISAC CNR, Bologna, Italy.</t>
  </si>
  <si>
    <t>f.tampieri@isac.cnr.it</t>
  </si>
  <si>
    <t>Maurizi, Alberto Ubaldo Guido/D-5031-2017</t>
  </si>
  <si>
    <t>EC IP GEMS; Italia-USA; National Programme for Antarctic Research</t>
  </si>
  <si>
    <t>The authors acknowledge partial support from EC IP GEMS, the Italia-USA agreement for research on climate changes and the National Programme for Antarctic Research.</t>
  </si>
  <si>
    <t>SOC ITALIANA FISICA</t>
  </si>
  <si>
    <t>BOLOGNA</t>
  </si>
  <si>
    <t>VIA SARAGOZZA, 12, I-40123 BOLOGNA, ITALY</t>
  </si>
  <si>
    <t>2037-4909</t>
  </si>
  <si>
    <t>1826-9885</t>
  </si>
  <si>
    <t>NUOVO CIM C-COLLOQ C</t>
  </si>
  <si>
    <t>Nuovo Cim. C-Colloq. Commun. Phys.</t>
  </si>
  <si>
    <t>10.1393/ncc/i2007-10251-9</t>
  </si>
  <si>
    <t>Physics, Multidisciplinary</t>
  </si>
  <si>
    <t>Emerging Sources Citation Index (ESCI)</t>
  </si>
  <si>
    <t>Physics</t>
  </si>
  <si>
    <t>V8K7X</t>
  </si>
  <si>
    <t>WOS:000421726000004</t>
  </si>
  <si>
    <t>Agustí, S; Llabrés, M</t>
  </si>
  <si>
    <t>Agusti, Susana; Llabres, Moira</t>
  </si>
  <si>
    <t>Solar radiation-induced mortality of marine pico-phytoplankton in the oligotrophic ocean</t>
  </si>
  <si>
    <t>PHOTOCHEMISTRY AND PHOTOBIOLOGY</t>
  </si>
  <si>
    <t>33rd Annual Meeting of the American-Society-of-Photobiology</t>
  </si>
  <si>
    <t>JUL, 2006</t>
  </si>
  <si>
    <t>ULTRAVIOLET-RADIATION; CELL-DEATH; ANTARCTIC PHYTOPLANKTON; UV-RADIATION; FOOD-WEB; ATLANTIC; PICOPHYTOPLANKTON; VIABILITY; DNA; PROCHLOROCOCCUS</t>
  </si>
  <si>
    <t>We examined the response of pico-phytoplankton communities sampled at the equatorial, tropical and temperate Central Atlantic Ocean to subsurface underwater solar radiation in order to test the generality of the reported cell mortality for these populations when exposed to high ultra violet radiation (UVR) and photosynthetically active radiation. The natural communities of pico-phytoplankton populations tested experienced high cell mortality when exposed to high solar radiation, despite inhabiting tropical waters. Synechococcus and eukaryotes were more resistant to solar radiation than Prochlorococcus. The decay rates of all pico-phyto plankton groups examined tended to be much higher when exposed to total solar radiation than when UVB-R was filtered out. We also show that even short exposures of 30 min to high solar radiation were able to induce cell mortality in Prochlorococcus. The variability in the decay rates of living Prochlorococcus cells were strongly related to the condition of the original population. However, Synechococcus decay rates were higher in populations from the tropical area, with eukaryotes sensitivity increasing with increasing the trophic degree. The data reported in this study and in the literature revealed contrasting capacities of Prochlorococcus, Synechococcus and eukaryotes to survive under high solar radiation. Although the mechanisms involved are as yet unclear, their elucidation may help explain niche partitioning among these organisms in the ocean.</t>
  </si>
  <si>
    <t>UIB, CSIC, IMEDEA, Esporles, Balearic Isl, Spain</t>
  </si>
  <si>
    <t>Universitat de les Illes Balears; Consejo Superior de Investigaciones Cientificas (CSIC); ATTITUS Educacao</t>
  </si>
  <si>
    <t>Agustí, S (corresponding author), UIB, CSIC, IMEDEA, Esporles, Balearic Isl, Spain.</t>
  </si>
  <si>
    <t>sagusti@uib.es</t>
  </si>
  <si>
    <t>Agusti, Susana/G-2864-2017; Agusti, Susana/H-8421-2012</t>
  </si>
  <si>
    <t>Agusti, Susana/0000-0003-0536-7293;</t>
  </si>
  <si>
    <t>0031-8655</t>
  </si>
  <si>
    <t>1751-1097</t>
  </si>
  <si>
    <t>PHOTOCHEM PHOTOBIOL</t>
  </si>
  <si>
    <t>Photochem. Photobiol.</t>
  </si>
  <si>
    <t>10.1111/j.1751-1097.2007.00144.x</t>
  </si>
  <si>
    <t>Biochemistry &amp; Molecular Biology; Biophysics</t>
  </si>
  <si>
    <t>197EK</t>
  </si>
  <si>
    <t>WOS:000248537200004</t>
  </si>
  <si>
    <t>Iken, K; Amsler, CD; Hubbard, JM; McClintock, JB; Baker, BJ</t>
  </si>
  <si>
    <t>Iken, Katrin; Amsler, Charles D.; Hubbard, Joanna M.; McClintock, James B.; Baker, Bill J.</t>
  </si>
  <si>
    <t>Allocation patterns of phlorotannins in Antarctic brown algae</t>
  </si>
  <si>
    <t>PHYCOLOGIA</t>
  </si>
  <si>
    <t>Antarctica; brown algae; optimal defense theory; allocation; phlorotannins; phlorotannin molecular size</t>
  </si>
  <si>
    <t>KING-GEORGE ISLAND; NORTHEASTERN PACIFIC KELPS; FISH NOTOTHENIA-CORIICEPS; PHENOLIC-COMPOUNDS; CHEMICAL DEFENSES; NUTRIENT AVAILABILITY; TROPHIC RELATIONSHIPS; SIMULATED HERBIVORY; ASCOPHYLLUM-NODOSUM; DESMARESTIA-ANCEPS</t>
  </si>
  <si>
    <t>Brown algae from tropical and temperate regions of the world's oceans have been shown to contain phlorotannins as typical primary and secondary metabolites. Here, phlorotannin contents of nine abundant Antarctic brown algal species were determined, which ranged between 0.5 and 9% DW. These values were higher than phlorotannin levels in most tropical and North Pacific brown algae but were comparable to levels in Australasian species. Phlorotannins showed clear patterns within distinct thallus portions in most species. Overall, phlorotannin allocation seemed to follow patterns predicted by the optimal defense theory, which states that chemical defenses are allocated preferentially towards thallus parts that are highly valuable to the organism. Phlorotannins also were comprised of distinct size classes in most thallus parts, although trends within individual species should be regarded with care because of the low number of samples per species. Although there were marked differences in size class distribution in most individuals examined, there was no consistent pattern of size class distribution across all species examined.</t>
  </si>
  <si>
    <t>Univ Alabama Birmingham, Dept Biol, Birmingham, AL 35294 USA; Univ Alaska, Sch Fisheries &amp; Ocean Sci, Fairbanks, AK 99775 USA; Anchorage Sch Dist, Anchorage, AK 99516 USA; Univ S Florida, Dept Chem, Tampa, FL 33620 USA</t>
  </si>
  <si>
    <t>University of Alabama System; University of Alabama Birmingham; University of Alaska System; University of Alaska Fairbanks; State University System of Florida; University of South Florida</t>
  </si>
  <si>
    <t>Iken, K (corresponding author), Univ Alabama Birmingham, Dept Biol, Birmingham, AL 35294 USA.</t>
  </si>
  <si>
    <t>iken@ims.uaf.edu</t>
  </si>
  <si>
    <t>Baker, Bill/N-4312-2019</t>
  </si>
  <si>
    <t>Amsler, Charles/0000-0002-4843-3759</t>
  </si>
  <si>
    <t>0031-8884</t>
  </si>
  <si>
    <t>2330-2968</t>
  </si>
  <si>
    <t>Phycologia</t>
  </si>
  <si>
    <t>10.2216/06-67.1</t>
  </si>
  <si>
    <t>Plant Sciences; Marine &amp; Freshwater Biology</t>
  </si>
  <si>
    <t>187NW</t>
  </si>
  <si>
    <t>WOS:000247855900005</t>
  </si>
  <si>
    <t>Williams, TM; Rutishauser, M; Long, B; Fink, T; Gafney, J; Mostman-Liwanag, H; Casper, D</t>
  </si>
  <si>
    <t>Williams, Terrie M.; Rutishauser, M.; Long, B.; Fink, T.; Gafney, J.; Mostman-Liwanag, H.; Casper, D.</t>
  </si>
  <si>
    <t>Seasonal variability in otariid energetics: Implications for the effects of predators on localized prey resources</t>
  </si>
  <si>
    <t>PHYSIOLOGICAL AND BIOCHEMICAL ZOOLOGY</t>
  </si>
  <si>
    <t>NORTHERN ELEPHANT SEAL; ANTARCTIC FUR SEALS; METABOLIC-RATE; ARCTOCEPHALUS-GAZELLA; FOOD-CONSUMPTION; LACTATION; PREGNANCY; PUPS</t>
  </si>
  <si>
    <t>Otariids, like other wild mammals, contend with a wide variety of energetic demands across seasons. However, due to the cryptic behaviors of this marine group, few studies have been able to examine longitudinal energetic costs or the potential impact of these costs on seasonal or annual prey requirements. Here we evaluated the changes in energy demand and intake of female California sea lions (Zalophus californianus) during reproductive (n = 2 sea lions) and nonreproductive (n = 3) periods. Monthly measurements included resting metabolic rate, blood hormone levels, body condition ( blubber thickness and body mass), and caloric intake for adult sea lions throughout molting, late pregnancy, lactation, and postweaning. We found that maintenance energy demands decreased from 32.0 to 23.1 MJ d(-1) before pupping, remaining stable at 19.4 +/- 0.6 MJ d(-1) during lactation and postweaning. Energy intake rates to meet these demands showed marked changes with activity level and the reproductive cycle, reaching a peak intake of 3.6 times baseline levels during lactation. Translating this into prey demands, we find that 20,000 reproductively active females on San Nicolas Island rookeries would maximally require 4,950 metric tons of Pacific whiting during a month of the breeding season. This localized impact is reduced significantly with post-breeding dispersal and demonstrates the importance of considering spatial and temporal factors driving the energetic requirements of predators when designing marine protected areas.</t>
  </si>
  <si>
    <t>Univ Calif Santa Cruz, Ctr Ocean Hlth Long Marine Lab, Dept Ecol &amp; Evolut Biol, Santa Cruz, CA 95060 USA</t>
  </si>
  <si>
    <t>University of California System; University of California Santa Cruz</t>
  </si>
  <si>
    <t>Williams, TM (corresponding author), Univ Calif Santa Cruz, Ctr Ocean Hlth Long Marine Lab, Dept Ecol &amp; Evolut Biol, 100 Shaffer Rd, Santa Cruz, CA 95060 USA.</t>
  </si>
  <si>
    <t>williams@biology.ucsc.edu</t>
  </si>
  <si>
    <t>Liwanag, Heather/0000-0003-3250-2542</t>
  </si>
  <si>
    <t>1522-2152</t>
  </si>
  <si>
    <t>1537-5293</t>
  </si>
  <si>
    <t>PHYSIOL BIOCHEM ZOOL</t>
  </si>
  <si>
    <t>Physiol. Biochem. Zool.</t>
  </si>
  <si>
    <t>10.1086/518346</t>
  </si>
  <si>
    <t>Physiology; Zoology</t>
  </si>
  <si>
    <t>169BR</t>
  </si>
  <si>
    <t>WOS:000246568200009</t>
  </si>
  <si>
    <t>Loots, C; Koubbi, P; Duhamel, G</t>
  </si>
  <si>
    <t>Loots, Christophe; Koubbi, Philippe; Duhamel, Guy</t>
  </si>
  <si>
    <t>Habitat modelling of Electrona antarctica (Myctophidae, Pisces) in Kerguelen by generalized additive models and geographic information systems</t>
  </si>
  <si>
    <t>Generalized additive models (GAM); Geographic information systems (GIS); Fish; Myctophidae; Electrona antarctica; Southern ocean; Kerguelen islands</t>
  </si>
  <si>
    <t>MESOPELAGIC FISH ASSEMBLAGES; SEALS ARCTOCEPHALUS-GAZELLA; ISLANDS SOUTHERN-OCEAN; KING PENGUINS; FATTY-ACID; FUR SEALS; CROZET ARCHIPELAGO; WAX ESTERS; ECOLOGY; PREY</t>
  </si>
  <si>
    <t>Electrona antarctica is one of the most abundant mesopelagic fishes in the oceanic zone surrounding the Kerguelen Archipelago in the Indian sector of the Southern Ocean. Generalized additive models (GAM) combined with geographical information systems (GIS) were used to predict and map the abundance of this species according to three environmental variables: sea surface temperature, bathymetry and surface chlorophyll a. The model was applied on the Antarctic Polar Front in the eastern part of Kerguelen Archipelago. E. antarctica seems to be linked to areas presenting low chlorophyll a concentrations, depths greater than 500 m and temperatures lower than 5 degrees C. The model was then applied to the Kerguelen's plateau for three different years: 1998, 1999 and 2000. The position of Antarctic Polar Front and the intensity of an upwelling play an important role in the abundance variability of E. antarctica. Furthermore, the model allows the understanding of the habitat of E. antarctica and its trophic place in the pelagic ecosystem.</t>
  </si>
  <si>
    <t>Museum Natl Hist Nat, Dept Milieux &amp; Peuplements Aquat, F-75231 Paris 05, France; Univ Littoral Cote dOpale, LIMUL, F-62327 Boulogne Sur Mer, France</t>
  </si>
  <si>
    <t>Museum National d'Histoire Naturelle (MNHN); Universite du Littoral-Cote-d'Opale</t>
  </si>
  <si>
    <t>Duhamel, G (corresponding author), Museum Natl Hist Nat, Dept Milieux &amp; Peuplements Aquat, USM 403,CP 26,43 Rue Cuvier, F-75231 Paris 05, France.</t>
  </si>
  <si>
    <t>duhamel@mnhn.fr</t>
  </si>
  <si>
    <t>Koubbi, Philippe/D-5873-2015</t>
  </si>
  <si>
    <t>Loots, Christophe/0000-0002-7344-1777</t>
  </si>
  <si>
    <t>10.1007/s00300-007-0253-7</t>
  </si>
  <si>
    <t>178HQ</t>
  </si>
  <si>
    <t>WOS:000247212200001</t>
  </si>
  <si>
    <t>Bokhorst, S; Ronfort, C; Huiskes, A; Convey, P; Aerts, R</t>
  </si>
  <si>
    <t>Bokhorst, S.; Ronfort, C.; Huiskes, A.; Convey, P.; Aerts, R.</t>
  </si>
  <si>
    <t>Food choice of Antarctic soil arthropods clarified by stable isotope signatures</t>
  </si>
  <si>
    <t>Alaskozetes antarcticus; Antarctic; Collembola; Cryptopygus antarcticus; Food choice</t>
  </si>
  <si>
    <t>COLLEMBOLAN CRYPTOPYGUS-ANTARCTICUS; SOUTH-SHETLAND-ISLANDS; ALASKOZETES-ANTARCTICUS; TERRESTRIAL ECOSYSTEMS; LIVINGSTON-ISLAND; TROPHIC STRUCTURE; BYERS-PENINSULA; CARBON; FAUNA; INVERTEBRATES</t>
  </si>
  <si>
    <t>Antarctic soil ecosystems are amongst the most simplified on Earth and include only few soil arthropod species, generally believed to be opportunistic omnivorous feeders. Using stable isotopic analyses, we investigated the food choice of two common and widely distributed Antarctic soil arthropod species using natural abundances of C-13 and N-15 and an isotope labelling study. In the laboratory we fed the isotomid springtail Cryptopygus antarcticus six potential food sources (one algal species, two lichens and three mosses). Our results showed a clear preference for algae and lichens rather than mosses. These results were corroborated by field data comparing stable isotope signatures from the most dominant cryptogams and soil arthropods (C. antarcticus and the oribatid mite Alaskozetes antarcticus). Thus, for the first time in an Antarctic study, we present clear evidence that these soil arthropods show selectivity in their choice of food and have a preference for algae and lichens above mosses.</t>
  </si>
  <si>
    <t>Netherlands Inst Ecol, Ctr Estuarine &amp; Marine Ecol, NL-4401 NT Yerseke, Netherlands; British Antarctic Survey, NERC, Cambridge CB3 0ET, England; Free Univ Amsterdam, Dept Syst Ecol, Inst Ecol Sci, NL-1081 HV Amsterdam, Netherlands</t>
  </si>
  <si>
    <t>Royal Netherlands Academy of Arts &amp; Sciences; Netherlands Institute of Ecology (NIOO-KNAW); UK Research &amp; Innovation (UKRI); Natural Environment Research Council (NERC); NERC British Antarctic Survey; Vrije Universiteit Amsterdam</t>
  </si>
  <si>
    <t>Bokhorst, S (corresponding author), Netherlands Inst Ecol, Ctr Estuarine &amp; Marine Ecol, Korringaweg 7, NL-4401 NT Yerseke, Netherlands.</t>
  </si>
  <si>
    <t>Stefbokhorst@hotmail.com</t>
  </si>
  <si>
    <t>Huiskes, Ad/C-3252-2011; Bokhorst, Stef/D-1858-2009; Convey, Peter/AAV-5728-2020</t>
  </si>
  <si>
    <t>Convey, Peter/0000-0001-8497-9903; Aerts, Rien/0000-0001-6694-0669; Bokhorst, Stef/0000-0003-0184-1162</t>
  </si>
  <si>
    <t>NERC [bas010015] Funding Source: UKRI; Natural Environment Research Council [bas010015] Funding Source: researchfish</t>
  </si>
  <si>
    <t>10.1007/s00300-007-0256-4</t>
  </si>
  <si>
    <t>Green Submitted, hybrid</t>
  </si>
  <si>
    <t>WOS:000247212200004</t>
  </si>
  <si>
    <t>Linse, K; Cope, T; Lörz, AN; Sands, C</t>
  </si>
  <si>
    <t>Linse, Katrin; Cope, Therese; Lorz, Anne-Nina; Sands, Chester</t>
  </si>
  <si>
    <t>Is the Scotia Sea a centre of Antarctic marine diversification?: Some evidence of cryptic speciation in the circum-Antarctic bivalve Lissarca notorcadensis (Arcoidea:Philobryidae)</t>
  </si>
  <si>
    <t>Lissarca notorcadensis; Bivalvia; Antarctic; Cytochrome oxidase I; Cryptic species</t>
  </si>
  <si>
    <t>POPULATION-DYNAMICS; ASELLOTA CRUSTACEA; MITOCHONDRIAL-DNA; WEDDELL SEA; DIVERSITY; BIOGEOGRAPHY; ISOPODA; SPRINGTAILS; GLACIATION; PHYLOGENY</t>
  </si>
  <si>
    <t>The bivalve Lissarca notorcadensis is one of the most abundant species in Antarctic waters and has colonised the entire Antarctic shelf and Scotia Sea Islands. Its brooding reproduction, low dispersal capabilities and epizoic lifestyle predict limited gene flow between geographically isolated populations. Relationships between specimens from seven regions in the Southern Ocean and outgroups were assessed with nuclear 28S rDNA and mitochondrial cytochrome oxidase subunit I (COI) genes. The 28S dataset indicate that while Lissarca appears to be a monophyletic genus, there is polyphyly between the Limopsidae and Philobryidae. Thirteen CO1 haplotypes were found, mostly unique to the sample regions, and two distinct lineages were distinguished. Specimens from the Weddell and Ross Sea form one lineage while individuals from the banks and islands of the Scotia Sea form the other. Within each lineage, further vicariance was observed forming six regionally isolated groups. Our results provide initial evidence for reproductively isolated populations of L. notorcadensis. The islands of the Scotia Sea appear to act as centres of speciation in the Southern Ocean.</t>
  </si>
  <si>
    <t>British Antarctic Survey, Nat Environm Res Council, Cambridge CB3 0ET, England; Natl Inst Water &amp; Atmospher Res, Wellington, New Zealand</t>
  </si>
  <si>
    <t>UK Research &amp; Innovation (UKRI); Natural Environment Research Council (NERC); NERC British Antarctic Survey; National Institute of Water &amp; Atmospheric Research (NIWA) - New Zealand</t>
  </si>
  <si>
    <t>Linse, K (corresponding author), British Antarctic Survey, Nat Environm Res Council, Madingley Rd, Cambridge CB3 0ET, England.</t>
  </si>
  <si>
    <t>kl@bas.ac.uk</t>
  </si>
  <si>
    <t>Linse, Katrin/0000-0003-3477-3047; Sands, Chester/0000-0003-1028-0328</t>
  </si>
  <si>
    <t>NERC [bas010015] Funding Source: UKRI; Natural Environment Research Council [NER/M/S/2003/00102, bas010015] Funding Source: researchfish</t>
  </si>
  <si>
    <t>10.1007/s00300-007-0265-3</t>
  </si>
  <si>
    <t>WOS:000247212200011</t>
  </si>
  <si>
    <t>Barnes, DKA; Webb, KE; Linse, K</t>
  </si>
  <si>
    <t>Barnes, David K. A.; Webb, Karen E.; Linse, Katrin</t>
  </si>
  <si>
    <t>Growth rate and its variability in erect Antarctic bryozoans</t>
  </si>
  <si>
    <t>Indicator species; Southern Ocean; Dry-mass; Polar; Carbonate</t>
  </si>
  <si>
    <t>CLIMATE-CHANGE; COMMUNITY-DEVELOPMENT; MELICERITA-OBLIQUA; SEASONAL-VARIATION; FOLIACEA BRYOZOA; COLONY GROWTH; NEW-ZEALAND; SEA; BENTHOS; CHEILOSTOMATA</t>
  </si>
  <si>
    <t>Climate is altering rapidly in parts of the Arctic and Antarctic but we know little about how marine organisms are responding to, or might respond to such changes. Knowledge of within-taxon variability is the vital context (currently missing) to interpretation of environmental signals. We investigated growth in six species and three genera of erect Antarctic bryozoans, an ideal model taxon to investigate such response. Cellarinella margueritae, C. nodulata, C. rogickae, C. watersi, Melicerita obliqua and Stomhypselosaria watersi, extended 3.4, 5.2, 4.6, 4.1, 4.9 and 4.5 mm year(-1) and synthesised 24, 55, 45, 176, 34 and 46 mg CaCO3 year(-1), respectively. The maximum ages of these species ranged from 11 to 15 years except M. obliqua, which reached 32 years. This is the first investigation of growth rates of closely related Antarctic invertebrate species and reports the slowest growth rates of bryozoans known from anywhere to date. Our data coupled with that from literature shows that Antarctic bryozoan growth varies &lt;&lt; 10(1) between species, 10(1) between genera, 10(2) between morphologies and is similar to 10(1) slower than in tropical or temperate regions. However, within encrusting types the slowest growing species grow at similar rates from poles to tropics. Age was a strong confounding factor across our Antarctic study species but age-standardised data showed a possible decline in annual growth from 1992 to 2003. We identify several factors increasing this environmental signal strength, including (1) the importance of generic (though not necessarily species) identification and (2) use of dry-mass or ash-free dry-mass as the measures of growth.</t>
  </si>
  <si>
    <t>British Antarctic Survey, Nat Environm Res Council, Cambridge CB3 0ET, England; Univ Oslo, Dept Biol, N-0316 Oslo, Norway</t>
  </si>
  <si>
    <t>UK Research &amp; Innovation (UKRI); Natural Environment Research Council (NERC); NERC British Antarctic Survey; University of Oslo</t>
  </si>
  <si>
    <t>Barnes, DKA (corresponding author), British Antarctic Survey, Nat Environm Res Council, Madingley Rd, Cambridge CB3 0ET, England.</t>
  </si>
  <si>
    <t>dkab@bas.ac.uk</t>
  </si>
  <si>
    <t>Webb, Karen/A-5977-2010</t>
  </si>
  <si>
    <t>Linse, Katrin/0000-0003-3477-3047</t>
  </si>
  <si>
    <t>Natural Environment Research Council [dml011000, bas010015] Funding Source: researchfish; NERC [bas010015, dml011000] Funding Source: UKRI</t>
  </si>
  <si>
    <t>10.1007/s00300-007-0266-2</t>
  </si>
  <si>
    <t>WOS:000247212200012</t>
  </si>
  <si>
    <t>Low, M; Meyer, L; Southwell, C</t>
  </si>
  <si>
    <t>Low, Matthew; Meyer, Lisa; Southwell, Colin</t>
  </si>
  <si>
    <t>Number and distribution of adelie penguin (Pygoscelis adeliae) breeding sites in the Robinson group of islands, Mac.Robertson land coast, east Antarctica</t>
  </si>
  <si>
    <t>POLAR RECORD</t>
  </si>
  <si>
    <t>POPULATIONS</t>
  </si>
  <si>
    <t>In November 2005, the first comprehensive survey for Adelie penguin (Pygoscelis adeliae) breeding sites in the Robinson Group of islands, situated 25 to 55 km east of Australia's Mawson station (67.602 degrees S, 62.879 degrees E) was conducted. Breeding Adelie penguins were found on 30 of the 149 islands, with the number of nests on each island ranging from fewer than 10 to several thousand. With the exception of those islands in the southeast, nesting Adelie penguins were found throughout the Robinson Group. In this paper, the spatial coordinates and presence/absence of breeding penguins for all 149 islands are reported so that researchers may interpret the results in relation to possible future survey work. All locations reported in this paper are in decimal degrees.</t>
  </si>
  <si>
    <t>Australian Antarctic Div, Dept Environm &amp; Water Resources, Kingston, Tas 7050, Australia</t>
  </si>
  <si>
    <t>Australian Antarctic Division</t>
  </si>
  <si>
    <t>Low, M (corresponding author), Australian Antarctic Div, Dept Environm &amp; Water Resources, 203 Channel Highway, Kingston, Tas 7050, Australia.</t>
  </si>
  <si>
    <t>Low, Matthew/D-2292-2013</t>
  </si>
  <si>
    <t>Low, Matthew/0000-0002-7345-6063</t>
  </si>
  <si>
    <t>CAMBRIDGE UNIV PRESS</t>
  </si>
  <si>
    <t>32 AVENUE OF THE AMERICAS, NEW YORK, NY 10013-2473 USA</t>
  </si>
  <si>
    <t>0032-2474</t>
  </si>
  <si>
    <t>POLAR REC</t>
  </si>
  <si>
    <t>POLAR REC.</t>
  </si>
  <si>
    <t>10.1017/S0032247407006365</t>
  </si>
  <si>
    <t>184ME</t>
  </si>
  <si>
    <t>WOS:000247645000003</t>
  </si>
  <si>
    <t>Sánchez, RA; McIvor, E</t>
  </si>
  <si>
    <t>Sanchez, Rodolfo Andrés; McIvor, Ewan</t>
  </si>
  <si>
    <t>The antarctic committee for environmental protection:: past, present, and future</t>
  </si>
  <si>
    <t>The Committee for Environmental Protection (CEP) was established under the Protocol on Environmental Protection to the Antarctic Treaty to advise the Antarctic Treaty Consultative Meeting (ATCM) on matters relating to protection of the Antarctic environment. After almost a decade of work, the committee has consolidated itself as a highly relevant and important component of the Antarctic Treaty system. Through a detailed analysis of meeting reports, as well as first-hand information and experience, this study describes the activities of the CEP during its first nine years of operation, provides likely explanations for some trends observed and proposes future scenarios by highlighting major challenges and opportunities. In particular, the instigation of strategic planning shows potential for launching a new era of CEP activities focused on the environmental issues requiring the greatest attention. This overview will assist readers to understand the role of the CEP as the main environmental advisor to the ATCM, and the reasons for the Antarctic Treaty parties to support the Committee's work to foster a spirit of cooperation as a prerequisite for continuing protection of the Antarctic environment.</t>
  </si>
  <si>
    <t>Direcc Nacl Antartico, RA-1010 Buenos Aires, DF, Argentina; Australian Antarctic Div, Kingston, Tas 7050, Australia</t>
  </si>
  <si>
    <t>Sánchez, RA (corresponding author), Direcc Nacl Antartico, Cerrito 1248, RA-1010 Buenos Aires, DF, Argentina.</t>
  </si>
  <si>
    <t>McIvor, Ewan/0000-0003-4364-2516</t>
  </si>
  <si>
    <t>10.1017/S0032247407006547</t>
  </si>
  <si>
    <t>WOS:000247645000005</t>
  </si>
  <si>
    <t>Bourrouilh-Le Jan, FG</t>
  </si>
  <si>
    <t>Bourrouilh-Le Jan, Francoise G.</t>
  </si>
  <si>
    <t>Very high energy sedimentation (supratidal hurricane deposits) and Mid-Holocene highstand on carbonate platforms, Andros, Bahamas: An alternative view</t>
  </si>
  <si>
    <t>hurricanes; holocene; sea-level highstand; Bahamas</t>
  </si>
  <si>
    <t>MEAN SEA-LEVEL; LAST GLACIAL MAXIMUM; ANTARCTIC ICE-SHEET; MIDDLE HOLOCENE; EASTERN AUSTRALIA; NORTH-AMERICA; RECORD; BANK; HISTORY; ORIGIN</t>
  </si>
  <si>
    <t>Twenty-eight C-14 dates were obtained from 90 cores drilled through the tidal flats of western Andros Island, a large area (2000 km(2)), mostly covered by mangroves and stromatolitic deposits. These dates are correlated with location of the samples, sedimentological description, position of the samples at the time of deposition and their present-day sedimentological position. Measurements were made on bulk algal sediments and location of the relative paleo-sea-level is inferred from paleobathymetric reconstructions. On the basis of C-14 dates, I conclude that the whole area was flooded about 5000 years BP and then was covered by the subtidal greyish mud facies, rich in Peneroplids, in the area of Deep Creek (north of the study area), Pelican Creek and Wide Opening (southeast of the study area). The level of this paleo-Great Bahama Bank Sea continued to rise until 3500 years BP and then slowly fell asymptotically toward the present-day level. Thick hurricane marks (aragonitic lime mud with Didemnids spicules, several ern thick), previously defined as hurricane trails, can be observed throughout the cores, from 2000 years BP onwards. From 2000 years BP onwards it seems that the modem physiography was already established, including tidal estuaries, channels and stromatolite-bearing swamps. Paleogeographic maps and sections have been drawn, and accumulation rates calculated in the various sedimentological zones of the tidal flats of western Andros. These vary between 0.5 to 0.04 mm/yr. The modem topography of the tidal flats was established by 2000 years BP; similarly, the modem geological features, controlled by a tropical climate strictly dependent on hurricanes, were already established by 2000 years BP and seem to have been initiated between 2500 and 2000 years BP. (c) 2007 Elsevier B.V. All rights reserved.</t>
  </si>
  <si>
    <t>Univ Bordeaux 1, Lab CIBAMAR, F-33405 Talence, France</t>
  </si>
  <si>
    <t>Universite de Bordeaux</t>
  </si>
  <si>
    <t>Bourrouilh-Le Jan, FG (corresponding author), Univ Bordeaux 1, Lab CIBAMAR, Ave Fac, F-33405 Talence, France.</t>
  </si>
  <si>
    <t>f.bourrouilh-lejan@cibamar.u-bordeaux1.fr</t>
  </si>
  <si>
    <t>10.1016/j.sedgeo.2005.12.032</t>
  </si>
  <si>
    <t>185UP</t>
  </si>
  <si>
    <t>WOS:000247736200003</t>
  </si>
  <si>
    <t>Sabbah, I; Duldig, ML</t>
  </si>
  <si>
    <t>Sabbah, I.; Duldig, M. L.</t>
  </si>
  <si>
    <t>Solar polarity dependence of cosmic ray power spectra observed with mawson underground muon telescopes</t>
  </si>
  <si>
    <t>SOLAR PHYSICS</t>
  </si>
  <si>
    <t>INTERPLANETARY SCINTILLATIONS; DIFFUSION</t>
  </si>
  <si>
    <t>Power spectral density (PSD) of cosmic rays has been calculated from hourly averaged counts observed by underground muon telescopes located at Mawson over the low-frequency range 2.7 x 10(-7) -1.4 x 10(-4) Hz. The first two harmonics of the solar daily variation are well defined for even cycles (20 and 22) whereas only the first harmonic is defined in cycle 21. The amplitude of the diurnal variation is lower for even cycles than for the odd cycle. The spectral power of the odd cycle exceeds those of the even cycles. The spectra are flatter and have lower power when the interplanetary magnetic field (IMF) is directed away from the Sun above the current sheet (A &gt; 0) than when the IMF is directed toward the Sun above the current sheet (A &lt; 0). The spectra imply that heliospheric magnetic turbulence may be more variable on time scales of several years than previously suspected.</t>
  </si>
  <si>
    <t>Kuwait Univ, Fac Sci, Dept Phys, Kuwait, Kuwait; Univ Alexandria, Fac Sci, Dept Phys, Alexandria, Egypt; Australian Antarctic Div, Dept Environm &amp; Water Resources, Kingston, Tas 7050, Australia</t>
  </si>
  <si>
    <t>Kuwait University; Egyptian Knowledge Bank (EKB); Alexandria University; Australian Antarctic Division</t>
  </si>
  <si>
    <t>Sabbah, I (corresponding author), Kuwait Univ, Fac Sci, Dept Phys, Kuwait, Kuwait.</t>
  </si>
  <si>
    <t>sabbahsom@yahoo.com</t>
  </si>
  <si>
    <t>0038-0938</t>
  </si>
  <si>
    <t>SOL PHYS</t>
  </si>
  <si>
    <t>Sol. Phys.</t>
  </si>
  <si>
    <t>10.1007/s11207-007-0360-1</t>
  </si>
  <si>
    <t>215JC</t>
  </si>
  <si>
    <t>WOS:000249803600010</t>
  </si>
  <si>
    <t>Bhui, UK; Sengupta, P; Sengupta, P</t>
  </si>
  <si>
    <t>Bhui, Uttam K.; Sengupta, Pulak; Sengupta, Pranesh</t>
  </si>
  <si>
    <t>Phase relations in mafic dykes and their host rocks from Kondapalle, Andhra Pradesh, India: Implications for the time-depth trajectory of the Palaeoproterozoic (late Archaean?) granulites from southern Eastern Ghats Belt</t>
  </si>
  <si>
    <t>PRECAMBRIAN RESEARCH</t>
  </si>
  <si>
    <t>mafic dykes; Southern Eastern Ghats Belt; time-depth trajectory; lower crustal residence; Kondapalle; Indo-Antarctic correlation</t>
  </si>
  <si>
    <t>HIGH TEMPERATURE METAMORPHISM; U-PB GEOCHRONOLOGY; ORTHO-PYROXENE; ENDERBY-LAND; SAPPHIRINE GRANULITES; FACIES METAMORPHISM; QUARTZ ASSEMBLAGES; COEXISTING GARNET; FORMING REACTIONS; GRENVILLE-FRONT</t>
  </si>
  <si>
    <t>Kondapalle area, situated in the southern part of the Eastern Ghats Belt (EGB), expose an assemblage of high grade rocks with protracted geological history of more than I billion years. Field and petrological studies in combination with the existing geochronological data indicate intermittent tectonic activities in this region punctuated by intrusions of three suites of mafic dykes during early Palaeoproterozoic (or late Archaen?) to late Mezoproterozoic time. The earliest suite of dykes (gabbronorite-Suite I) was emplaced after the Pal aeoproterozoic/late Archaean (?) UHT metamorphism in a suite of metapelites at 8-10 kbar pressure. This event was followed successively by intrusions of a suite of felsic magma (now enderbitic rocks) at 1.72Ga and their high grade metamorphism (culminated at ca. 900 degrees C and ca. 8 +/- 1 kbar) at 1.67 Ga. Four sets of folding, F-1-F-4, accompanied this second granulite facies event. The Suite II noritic dykes were emplaced almost synchronous with the F-3 folding. Subsequent to the F-4 folding, a suite of dolerite dykes (Suite III) having typical ophitic and intergranular textures were emplaced. Finally, the entire rock assemblage of this region including the mafic dykes were affected by roughly N-S trending ductile shear zone and accompanying superposed metamorphism under granulite to amphibolite facies conditions during the period 1.53-1.39 Ga. Results from multiprong techniques including extant experimental data in the basaltic system, pseudosections for the mafic dykes and the topological relations of the contact metamorphic assemblages unequivocally demonstrate that the rocks of the studied area resided at the 8-10 kbar lithostatic pressures during the emplacement of all the three phases of mafic dykes. Integrating this information with the P-T conditions of the superposed metamorphic events and the existing geochronological data, a time-depth trajectory for the southern Eastern Ghats Belt (SEGB) has been constructed. This trajectory indicate that the Pal aeoproterozoic/late Archaean (?) UHT granulites of this segment resided at or below the middle crust for more than I billion years before being exhumed to near surface condition. The constructed time-depth trajectory for the SEGB belt show striking resemblance with the east Antarctic craton and provide additional support in favour of a Palaeoproterozoic supercontinent 'Columbia'. (c) 2007 Elsevier B.V. All rights reserved.</t>
  </si>
  <si>
    <t>Jadavpur Univ, Dept Geol Sci, Kolkata 700032, W Bengal, India</t>
  </si>
  <si>
    <t>Jadavpur University</t>
  </si>
  <si>
    <t>Bhui, UK (corresponding author), Jadavpur Univ, Dept Geol Sci, Kolkata 700032, W Bengal, India.</t>
  </si>
  <si>
    <t>ukbhui@rediffmail.com</t>
  </si>
  <si>
    <t>Sengupta, Pinaki/AFS-0906-2022; BHUI, UTTAM/AAV-8906-2021; Bhui, Uttam Kumar/AAN-6552-2020</t>
  </si>
  <si>
    <t>Sengupta, Pinaki/0000-0002-6914-7057; Bhui, Uttam Kumar/0000-0002-4697-3903</t>
  </si>
  <si>
    <t>0301-9268</t>
  </si>
  <si>
    <t>1872-7433</t>
  </si>
  <si>
    <t>PRECAMBRIAN RES</t>
  </si>
  <si>
    <t>Precambrian Res.</t>
  </si>
  <si>
    <t>JUN 30</t>
  </si>
  <si>
    <t>10.1016/j.precamres.2007.03.005</t>
  </si>
  <si>
    <t>194GR</t>
  </si>
  <si>
    <t>WOS:000248333200002</t>
  </si>
  <si>
    <t>Meyzen, CM; Blichert-Toft, J; Ludden, JN; Humler, E; Mével, C; Albarède, F</t>
  </si>
  <si>
    <t>Meyzen, Christine M.; Blichert-Toft, Janne; Ludden, John N.; Humler, Eric; Mevel, Catherine; Albarede, Francis</t>
  </si>
  <si>
    <t>Isotopic portrayal of the Earth's upper mantle flow field</t>
  </si>
  <si>
    <t>SOUTHWEST INDIAN RIDGE; MID-ATLANTIC RIDGE; AUSTRALIAN-ANTARCTIC DISCORDANCE; CONTINENTAL LITHOSPHERE; HETEROGENEITY BENEATH; TRIPLE JUNCTION; OCEANIC MANTLE; BASALTS; PLUME; CONVECTION</t>
  </si>
  <si>
    <t>It is now well established that oceanic plates sink into the lower mantle at subduction zones, but the reverse process of replacing lost upper-mantle material is not well constrained. Even whether the return flow is strongly localized as narrow upwellings or more broadly distributed remains uncertain. Here we show that the distribution of long-lived radiogenic isotopes along the world's mid-ocean ridges can be used to map geochemical domains, which reflect contrasting refilling modes of the upper mantle. New hafnium isotopic data along the Southwest Indian Ridge delineate a sharp transition between an Indian province with a strong lower-mantle isotopic flavour and a South Atlantic province contaminated by advection of upper-mantle material beneath the lithospheric roots of the Archaean African craton. The uppermantle of both domains appears to be refilled through the seismically defined anomaly underlying South Africa and the Afar plume. Because of the viscous drag exerted by the continental keels, refilling of the upper mantle in the Atlantic and Indian domains appears to be slow and confined to localized upwellings. By contrast, in the unencumbered Pacific domain, upwellings seem comparatively much wider and more rapid.</t>
  </si>
  <si>
    <t>Univ Lyon 1, Ecole Normale Super Lyon, CNRS UMR 5570, Lab Sci Terre, F-69364 Lyon 07, France; British Geol Survey, Keyworth NG12 5GG, Notts, England; Univ Nantes, CNRS UMR 6112, Lab Planetol &amp; Geodynam, F-44322 Nantes 03, France; Inst Phys Globe, Lab Geosci Marines, CNRS UMR 7154, F-75252 Paris 05, France</t>
  </si>
  <si>
    <t>Ecole Normale Superieure de Lyon (ENS de LYON); Universite Claude Bernard Lyon 1; UK Research &amp; Innovation (UKRI); Natural Environment Research Council (NERC); NERC British Geological Survey; Nantes Universite; Centre National de la Recherche Scientifique (CNRS); CNRS - National Institute for Earth Sciences &amp; Astronomy (INSU); Universite Paris Cite; Centre National de la Recherche Scientifique (CNRS); CNRS - National Institute for Earth Sciences &amp; Astronomy (INSU)</t>
  </si>
  <si>
    <t>Meyzen, CM (corresponding author), Univ Lyon 1, Ecole Normale Super Lyon, CNRS UMR 5570, Lab Sci Terre, 46 Allee Italie, F-69364 Lyon 07, France.</t>
  </si>
  <si>
    <t>christine.meyzen@ens-lyon.fr</t>
  </si>
  <si>
    <t>lgm, ipgp/F-8820-2010; Blichert-Toft, Janne/C-8280-2012; Albarede, Francis/A-8871-2011; Meyzen, Christine/L-1941-2015</t>
  </si>
  <si>
    <t>Blichert-Toft, Janne/0000-0002-4932-4079; Albarede, Francis/0000-0003-1994-1428; Meyzen, Christine/0000-0002-7529-5347</t>
  </si>
  <si>
    <t>JUN 28</t>
  </si>
  <si>
    <t>10.1038/nature05920</t>
  </si>
  <si>
    <t>183HT</t>
  </si>
  <si>
    <t>WOS:000247564600029</t>
  </si>
  <si>
    <t>Seppälä, A; Verronen, PT; Clilverd, MA; Randall, CE; Tamminen, J; Sofieva, V; Backman, L; Kyrölä, E</t>
  </si>
  <si>
    <t>Seppaelae, Annika; Verronen, Pekka T.; Clilverd, Mark A.; Randall, Cora E.; Tamminen, Johanna; Sofieva, Viktoria; Backman, Leif; Kyroelae, Erkki</t>
  </si>
  <si>
    <t>Arctic and Antarctic polar winter NOx and energetic particle precipitation in 2002-2006</t>
  </si>
  <si>
    <t>We report GOMOS nighttime observations of middle atmosphere NO2 and O-3 profiles during eight recent polar winters in the Arctic and Antarctic. The NO2 measurements are used to study the effects of energetic particle precipitation and further downward transport of polar NOx. During seven of the eight observed winters NOx enhancements occur in good correlation with levels of enhanced high-energy particle precipitation and/or geomagnetic activity as indicated by the Ap index. We find a nearly linear relationship between the average winter time Ap index and upper stratospheric polar winter NO2 column density in both hemispheres. In the Arctic winter 2005 - 2006 the NOx enhancement is higher than expected from the geomagnetic conditions, indicating the importance of changing meteorological conditions.</t>
  </si>
  <si>
    <t>Finnish Meteorol Inst, FI-00101 Helsinki, Finland; British Antarctic Survey, Phys Sci Div, Cambridge CB3 0ET, England; Univ Colorado, Atmospher &amp; Space Phys Lab, Boulder, CO 80309 USA; Univ Colorado, Dept Atmospher &amp; Ocean Sci, Boulder, CO 80309 USA</t>
  </si>
  <si>
    <t>Finnish Meteorological Institute; UK Research &amp; Innovation (UKRI); Natural Environment Research Council (NERC); NERC British Antarctic Survey; University of Colorado System; University of Colorado Boulder; University of Colorado System; University of Colorado Boulder</t>
  </si>
  <si>
    <t>Seppälä, A (corresponding author), Finnish Meteorol Inst, POB 503, FI-00101 Helsinki, Finland.</t>
  </si>
  <si>
    <t>annika.seppala@fmi.fi</t>
  </si>
  <si>
    <t>Verronen, Pekka T/G-6658-2014; Seppälä, Annika/C-8031-2014; Tamminen, Johanna/D-7959-2014; Kyrölä, Erkki T/E-1835-2014; Verronen, P. T./AIE-0203-2022; Backman, Leif/F-6796-2014; Sofieva, Viktoria/E-1958-2014; RANDALL, CORA/L-8760-2014</t>
  </si>
  <si>
    <t>Seppälä, Annika/0000-0002-5028-8220; Tamminen, Johanna/0000-0003-3095-0069; Verronen, P. T./0000-0002-3479-9071; Backman, Leif/0000-0002-1501-2958; Sofieva, Viktoria/0000-0002-9192-2208; RANDALL, CORA/0000-0002-4313-4397</t>
  </si>
  <si>
    <t>JUN 26</t>
  </si>
  <si>
    <t>L12810</t>
  </si>
  <si>
    <t>10.1029/2007GL029733</t>
  </si>
  <si>
    <t>184ZJ</t>
  </si>
  <si>
    <t>WOS:000247680800002</t>
  </si>
  <si>
    <t>Tripathi, OP; Godin-Beekmann, S; Lefèvre, F; Pazmiño, A; Hauchecorne, A; Chipperfield, M; Feng, W; Millard, G; Rex, M; Streibel, M; von der Gathen, P</t>
  </si>
  <si>
    <t>Tripathi, Om Prakash; Godin-Beekmann, Sophie; Lefevre, Franck; Pazmino, Andrea; Hauchecorne, Alain; Chipperfield, Martyn; Feng, Wuhu; Millard, Genevieve; Rex, Markus; Streibel, Martin; von der Gathen, Peter</t>
  </si>
  <si>
    <t>Comparison of polar ozone loss rates simulated by one-dimensional and three-dimensional models with Match observations in recent Antarctic and Arctic winters</t>
  </si>
  <si>
    <t>CHEMICAL-TRANSPORT MODEL; IN-SITU MEASUREMENTS; LOWER STRATOSPHERE; LIDAR MEASUREMENTS; ADVECTION MODEL; SELF-REACTION; VORTEX; DEPLETION; CLO; CHEMISTRY</t>
  </si>
  <si>
    <t>[1] Simulations of ozone loss rates using a three-dimensional chemical transport model and a box model during recent Antarctic and Arctic winters are compared with experimental loss rates. The study focused on the Antarctic winter 2003, during which the first Antarctic Match campaign was organized, and on Arctic winters 1999/2000, 2002/2003. The maximum ozone loss rates retrieved by the Match technique for the winters and levels studied reached 6 ppbv/sunlit hour and both types of simulations could generally reproduce the observations at 2-sigma error bar level. In some cases, for example, for the Arctic winter 2002/2003 at 475 K level, an excellent agreement within 1-sigma standard deviation level was obtained. An overestimation was also found with the box model simulation at some isentropic levels for the Antarctic winter and the Arctic winter 1999/2000, indicating an overestimation of chlorine activation in the model. Loss rates in the Antarctic show signs of saturation in September, which have to be considered in the comparison. Sensitivity tests were performed with the box model in order to assess the impact of kinetic parameters of the ClO-Cl2O2 catalytic cycle and total bromine content on the ozone loss rate. These tests resulted in a maximum change in ozone loss rates of 1.2 ppbv/sunlit hour, generally in high solar zenith angle conditions. In some cases, a better agreement was achieved with fastest photolysis of Cl2O2 and additional source of total inorganic bromine but at the expense of overestimation of smaller ozone loss rates derived later in the winter.</t>
  </si>
  <si>
    <t>Univ Paris 06, CNRS, IPSL, Serv Aeron, F-75252 Paris, France; Univ Leeds, Inst Atmospher Sci, Leeds LS2 9JT, W Yorkshire, England; Univ Cambridge, Dept Earth Sci, Cambridge CB2 3EQ, England; Alfred Wegener Inst Polar &amp; Marine Res, D-14473 Potsdam, Germany</t>
  </si>
  <si>
    <t>Universite Paris Cite; Centre National de la Recherche Scientifique (CNRS); Sorbonne Universite; University of Leeds; University of Cambridge; Helmholtz Association; Alfred Wegener Institute, Helmholtz Centre for Polar &amp; Marine Research</t>
  </si>
  <si>
    <t>Tripathi, OP (corresponding author), CALTECH, NASA, Jet Prop Lab, Table Mt Facil, 24490 Table Mt Rd, Wrightword, CA 92397 USA.</t>
  </si>
  <si>
    <t>ompraka@aero.jussieu.fr</t>
  </si>
  <si>
    <t>FENG, WUHU/B-8327-2008; Hauchecorne, Alain/A-8489-2013; Chipperfield, Martyn/H-6359-2013; von der Gathen, Peter/B-8515-2009; Rex, Markus/A-6054-2009</t>
  </si>
  <si>
    <t>FENG, WUHU/0000-0002-9907-9120; Chipperfield, Martyn/0000-0002-6803-4149; von der Gathen, Peter/0000-0001-7409-1556; Rex, Markus/0000-0001-7847-8221; Hauchecorne, Alain/0000-0001-9888-6994</t>
  </si>
  <si>
    <t>Natural Environment Research Council [ncas10009] Funding Source: researchfish</t>
  </si>
  <si>
    <t>D12</t>
  </si>
  <si>
    <t>D12307</t>
  </si>
  <si>
    <t>10.1029/2006JD008370</t>
  </si>
  <si>
    <t>185AD</t>
  </si>
  <si>
    <t>WOS:000247682800001</t>
  </si>
  <si>
    <t>Janknegt, PJ; Rijstenbil, JW; van de Poll, WH; Gechev, TS; Buma, AGJ</t>
  </si>
  <si>
    <t>Janknegt, Paul J.; Rijstenbil, Jan W.; van de Poll, Willem H.; Gechev, Tsanko S.; Buma, Anita G. J.</t>
  </si>
  <si>
    <t>A comparison of quantitative and qualitative superoxide dismutase assays for application to low temperature microalgae</t>
  </si>
  <si>
    <t>JOURNAL OF PHOTOCHEMISTRY AND PHOTOBIOLOGY B-BIOLOGY</t>
  </si>
  <si>
    <t>superoxide dismutase; xanthine/xanthine oxidase assay; NBT/riboflavin assay; native gel electrophoresis; marine Antarctic diatom</t>
  </si>
  <si>
    <t>UV-B RADIATION; ULTRAVIOLET-RADIATION; OXIDATIVE STRESS; ANTIOXIDANT ENZYMES; ENZYMATIC DEFENSES; OZONE DEPLETION; GROWTH; OXYGEN; RESPONSES; PHOTOINHIBITION</t>
  </si>
  <si>
    <t>Antioxidant enzymes such as superoxide dismutase (SOD) play a key role in the removal of reactive oxygen species produced during visible and ultraviolet irradiance stress in microalgae and plants. However, little is known about the enzymatic antioxidative stress responses in ecologically important Antarctic marine microalgae. SOD in particular is difficult to analyze, possibly due to problems in obtaining sufficient quantities necessary for reliable and reproducible enzymatic assays. The aim of the present work was to create a sensitive, easy-to-use and reliable method for SOD determination in Antarctic microalgal material by comparing and optimizing existing protein extraction procedures and SOD assays in the marine Antarctic diatom Chaetoceros brevis. Optimization was achieved in cell disruption (sonication) and protein extraction procedures, extraction buffers, SOD assay methods (xanthine/xanthine oxidase and NBT/ riboflavin photometric quantitative methods and native gel electrophoresis qualitative method) and the assay temperature. Protein extraction was optimal at low sonication amplitudes after a few pulses, irrespective of the type of buffer used. Extraction efficiency varied highly between the tested buffers; most protein was extracted in the presence of 1% of Triton X-100. SOD activity was best quantified using the NBT/riboflavin method in combination with a buffer containing potassium phosphate and Triton X-100. Moreover, the NBT/ riboflavin method was demonstrated to be the most reliable and sensitive method at low temperatures (5 degrees C). (c) 2007 Elsevier B.V. All rights reserved.</t>
  </si>
  <si>
    <t>Univ Groningen, Ctr Ecol &amp; Evolut Studies, Dept Ocean Ecosyst, NL-9750 AA Haren, Netherlands; Royal Dutch Acad Sci, Netherlands Inst Ecol Res, Ctr Estuarine &amp; Marine Ecol, NL-4401 NT Yerseke, Netherlands; Paisij Hilendarski Univ Plovdiv, Dept Plant Physiol &amp; Plant Mol Biol, BG-4000 Plovdiv, Bulgaria</t>
  </si>
  <si>
    <t>University of Groningen; Royal Netherlands Academy of Arts &amp; Sciences; Netherlands Institute of Ecology (NIOO-KNAW); Plovdiv University</t>
  </si>
  <si>
    <t>Janknegt, PJ (corresponding author), Univ Groningen, Ctr Ecol &amp; Evolut Studies, Dept Ocean Ecosyst, Kerklaan 30, NL-9750 AA Haren, Netherlands.</t>
  </si>
  <si>
    <t>P.J.Janknegt@rug.nl</t>
  </si>
  <si>
    <t>ELSEVIER SCIENCE SA</t>
  </si>
  <si>
    <t>LAUSANNE</t>
  </si>
  <si>
    <t>PO BOX 564, 1001 LAUSANNE, SWITZERLAND</t>
  </si>
  <si>
    <t>1011-1344</t>
  </si>
  <si>
    <t>J PHOTOCH PHOTOBIO B</t>
  </si>
  <si>
    <t>J. Photochem. Photobiol. B-Biol.</t>
  </si>
  <si>
    <t>10.1016/j.jphotobiol.2007.04.002</t>
  </si>
  <si>
    <t>185WH</t>
  </si>
  <si>
    <t>WOS:000247740600009</t>
  </si>
  <si>
    <t>Virkkula, A; Hirsikko, A; Vana, M; Aalto, PP; Hillamo, R; Kulmala, M</t>
  </si>
  <si>
    <t>Virkkula, Aki; Hirsikko, Anne; Vana, Marko; Aalto, Pasi P.; Hillamo, Risto; Kulmala, Markku</t>
  </si>
  <si>
    <t>Charged particle size distributions and analysis of particle formation events at the Finnish Antarctic research station Aboa</t>
  </si>
  <si>
    <t>BOREAL ENVIRONMENT RESEARCH</t>
  </si>
  <si>
    <t>SEGREGATED AEROSOL COMPOSITION; CLUSTER ACTIVATION; GROWTH-RATES; NUCLEATION; IONS; AIR; NANOPARTICLES; CHEMISTRY; MOBILITY; SUMMER</t>
  </si>
  <si>
    <t>We measured the size distributions of positively and negatively charged particles in the size ran-e 0.34-40 nm at the Finnish Antarctic research station Aboa from 14 December 2004 to 30 January 2005 with an Air Ion Spectrometer (AIS). Our focus was to study secondary particle formation in a clean environment. Therefore, we classified the 48 measurement days either as a particle formation event day, an undefined day or a non-event day. Approximately 23% of the days were particle formation event days, a fraction similar to that observed at a boreal forest site. The median diameter growth rates of negatively charged particles in size classes 1.3-3, 3-7 and 7-20 nm were 1. 1, 1.5 and 4.3 nm h(-1), respectively, and somewhat lower for positively charged particles. Furthermore, we observed a clear positive correlation between the wind speed and cluster and intermediate ion concentrations, which suggests that ions were produced by friction processes in fast moving snow and ice crystals during the periods with strong winds. Cluster ions (diameter &lt; 1.6 nm) were present during the whole measurement period. The average ( SD) positive and negative cluster ion concentrations were 557 974 and 587 543 CM-3, respectively.</t>
  </si>
  <si>
    <t>Finnish Meteorol Inst, FI-00101 Helsinki, Finland; Univ Helsinki, Dept Atmospher Sci, FI-00014 Helsinki, Finland; Univ Tartu, Inst Environm Phys, EE-50090 Tartu, Estonia</t>
  </si>
  <si>
    <t>Finnish Meteorological Institute; University of Helsinki; University of Tartu</t>
  </si>
  <si>
    <t>Virkkula, A (corresponding author), Finnish Meteorol Inst, POB 503, FI-00101 Helsinki, Finland.</t>
  </si>
  <si>
    <t>Aalto, Pasi P/A-1539-2009; Virkkula, Aki/B-8575-2014; Vana, Marko/N-9112-2019; Kulmala, Markku/I-7671-2016</t>
  </si>
  <si>
    <t>Virkkula, Aki/0000-0003-4874-7552; Vana, Marko/0000-0001-7555-9843; Kulmala, Markku/0000-0003-3464-7825</t>
  </si>
  <si>
    <t>FINNISH ENVIRONMENT INST</t>
  </si>
  <si>
    <t>HELSINKI</t>
  </si>
  <si>
    <t>P O BOX 140, FIN-00251 HELSINKI, FINLAND</t>
  </si>
  <si>
    <t>1239-6095</t>
  </si>
  <si>
    <t>1797-2469</t>
  </si>
  <si>
    <t>BOREAL ENVIRON RES</t>
  </si>
  <si>
    <t>Boreal Environ. Res.</t>
  </si>
  <si>
    <t>JUN 25</t>
  </si>
  <si>
    <t>Environmental Sciences</t>
  </si>
  <si>
    <t>188CA</t>
  </si>
  <si>
    <t>WOS:000247895000012</t>
  </si>
  <si>
    <t>Raphael, MN</t>
  </si>
  <si>
    <t>Raphael, M. N.</t>
  </si>
  <si>
    <t>The influence of atmospheric zonal wave three on Antarctic sea ice variability</t>
  </si>
  <si>
    <t>SOUTHERN-HEMISPHERE CIRCULATION; NCEP-NCAR REANALYSIS; ANNUAL CYCLE; HEAT FLUXES; WEDDELL SEA; OCEAN; OSCILLATION; CLIMATE; TRENDS; COVER</t>
  </si>
  <si>
    <t>The study examines the relationship between atmospheric zonal wave three and Antarctic sea ice variability using an index of zonal wave three and sea ice concentration. The net sensible heat flux and the surface air temperature are used to explain the apparent atmosphere-sea ice interaction. The results show that zonal wave three forces an alternating pattern of equatorward (colder) and poleward (warmer) flow which influences the temperature difference between the atmosphere and the ocean. The net sensible heat flux is positive, ocean heat loss is greater, and sea ice growth and expansion is greater in regions of colder air. The reverse is true in regions of warmer air. This influence of zonal wave three on sea ice concentration appears greatest in the southern fall and early winter. It is most clearly seen in the Ross and Weddell Seas outflows and off the Amery iceshelf.</t>
  </si>
  <si>
    <t>Univ Calif Los Angeles, Dept Geog, Los Angeles, CA 90095 USA</t>
  </si>
  <si>
    <t>University of California System; University of California Los Angeles</t>
  </si>
  <si>
    <t>Raphael, MN (corresponding author), Univ Calif Los Angeles, Dept Geog, 1255 Bunche Hall, Los Angeles, CA 90095 USA.</t>
  </si>
  <si>
    <t>raphael@geog.ucla.edu</t>
  </si>
  <si>
    <t>JUN 23</t>
  </si>
  <si>
    <t>D12112</t>
  </si>
  <si>
    <t>10.1029/2006JD007852</t>
  </si>
  <si>
    <t>182WH</t>
  </si>
  <si>
    <t>WOS:000247534200004</t>
  </si>
  <si>
    <t>Rasmussen, K; Palacios, DM; Calambokidis, J; Saborío, MT; Dalla Rosa, L; Secchi, ER; Steiger, GH; Allen, JM; Stone, GS</t>
  </si>
  <si>
    <t>Rasmussen, Kristin; Palacios, Daniel M.; Calambokidis, John; Saborio, Marco T.; Dalla Rosa, Luciano; Secchi, Eduardo R.; Steiger, Gretchen H.; Allen, Judith M.; Stone, Gregory S.</t>
  </si>
  <si>
    <t>Southern Hemisphere humpback whales wintering off Central America:: insights from water temperature into the longest mammalian migration</t>
  </si>
  <si>
    <t>humpback whale; Megaptera novaeangliae; migration; Central America; Antarctica; sea-surface temperature</t>
  </si>
  <si>
    <t>MEGAPTERA-NOVAEANGLIAE; DESTINATIONS; RECORD</t>
  </si>
  <si>
    <t>We report on a wintering area off the Pacific coast of Central America for humpback whales (Megaptera novaeangliae) migrating from feeding areas off Antarctica. We document seven individuals, including a mother/calf pair, that made this migration (approx. 8300 kin), the longest movement undertaken by any mammal. Whales were observed as far north as 11 degrees N off Costa Rica, in an area also used by a boreal population during the opposite winter season, resulting in unique spatial overlap between Northern and Southern Hemisphere populations. The occurrence of such a northerly wintering area is coincident with the development of an equatorial tongue of cold water in the eastern South Pacific, a pattern that is repeated in the eastern South Atlantic. A survey of location and water temperature at the wintering areas worldwide indicates that they are found in warm waters (21.1-28.3 degrees C), irrespective of latitude. We contend that while availability of suitable reproductive habitat in the wintering areas is important at the fine scale, water temperature influences whale distribution at the basin scale. Calf development in warm water may lead to larger adult size and increased reproductive success, a strategy that supports the energy conservation hypothesis as a reason for migration.</t>
  </si>
  <si>
    <t>Cascadia Res Collect, Olympia, WA 98501 USA; Moss Landing Marine Labs, Moss Landing, CA 95039 USA; Univ Hawaii, Joint Inst Marine &amp; Atmospher Res, Honolulu, HI 96822 USA; NOAA, NMFS, SWFSC, Div Environm Res, Pacific Grove, CA 93950 USA; Univ British Columbia, Fisheries Ctr, Dept Zool, Vancouver, BC V6T 1Z4, Canada; Univ British Columbia, Fisheries Ctr, Mammal Res Unit, Vancouver, BC V6T 1Z4, Canada; Fundacao Univ Fed Rio Grande, Museum Oceanog Prog Eliezer C Rios, Brazilian Antarctic Program, BR-96200970 Rio Grande, RS, Brazil; Coll Atlantic, Bar Harbor, ME 04609 USA; New England Aquarium, Boston, MA 02110 USA</t>
  </si>
  <si>
    <t>Moss Landing Marine Laboratories; University of Hawaii System; National Oceanic Atmospheric Admin (NOAA) - USA; University of British Columbia; University of British Columbia; Universidade Federal do Rio Grande</t>
  </si>
  <si>
    <t>Rasmussen, K (corresponding author), Cascadia Res Collect, 218 1-2 W 4th Ave, Olympia, WA 98501 USA.</t>
  </si>
  <si>
    <t>krasmussen@mlml.calstate.edu</t>
  </si>
  <si>
    <t>Palacios, Daniel M./B-9180-2008; Secchi, Eduardo/D-5038-2013; Rosa, Luciano Dalla/D-5660-2012; Secchi, Eduardo R./ABF-1191-2020</t>
  </si>
  <si>
    <t>Palacios, Daniel M./0000-0001-7069-7913; Secchi, Eduardo/0000-0001-9087-9909; Rosa, Luciano Dalla/0000-0002-1583-6471; Secchi, Eduardo R./0000-0001-9087-9909</t>
  </si>
  <si>
    <t>ROYAL SOCIETY</t>
  </si>
  <si>
    <t>BIOLOGY LETT</t>
  </si>
  <si>
    <t>JUN 22</t>
  </si>
  <si>
    <t>10.1098/rsbl.2007.0067</t>
  </si>
  <si>
    <t>173XH</t>
  </si>
  <si>
    <t>WOS:000246905300023</t>
  </si>
  <si>
    <t>Wang, KY; Lin, SC</t>
  </si>
  <si>
    <t>Wang, Kuo-Ying; Lin, Song-Chin</t>
  </si>
  <si>
    <t>First continuous GPS soundings of temperature structure over Antarctic winter from FORMOSAT-3/COSMIC constellation</t>
  </si>
  <si>
    <t>RADIO OCCULTATION; POLAR VORTEX; STRATOSPHERIC TEMPERATURE; SOUTHERN-HEMISPHERE; ATMOSPHERE; TRENDS; INVERSION; OZONE</t>
  </si>
  <si>
    <t>The FORMOSAT-3/COSMIC mission provides unprecedented spatial coverage of daily sounding profiles of the Antarctic atmosphere. Our analysis shows that temperature profiles from these global positioning system (GPS) soundings agree well with the radiosondes over the South Pole and Neumayer stations during the 2006 Southern Hemisphere (SH) winter season. These GPS soundings reveal a vertical domain of low temperature (e.g., T &lt;= - 78 degrees C at 28-km altitude) that is not clearly defined by the Antarctic radiosondes. Latitudinal analysis of the GPS soundings shows that regions with T &lt;= - 78 degrees C occur from about 10-km to 28-km altitudes, indicating an 18-km thick of the cold vertical layer. The extremely cold regions are found at latitudes between 71 degrees S and 87 degrees S and in altitudes between 15 and 25 km, not coinciding with the geographical South Pole. These results demonstrate the potential of the FORMOSAT-3/COSMIC data for polar studies.</t>
  </si>
  <si>
    <t>Natl Cent Univ, Dept Atmospher Sci, Chungli 320, Taiwan</t>
  </si>
  <si>
    <t>National Central University</t>
  </si>
  <si>
    <t>Wang, KY (corresponding author), Natl Cent Univ, Dept Atmospher Sci, Chungli 320, Taiwan.</t>
  </si>
  <si>
    <t>kuoying@mail.atm.ncu.edu.tw</t>
  </si>
  <si>
    <t>L12805</t>
  </si>
  <si>
    <t>10.1029/2007GL030159</t>
  </si>
  <si>
    <t>182VY</t>
  </si>
  <si>
    <t>WOS:000247533300007</t>
  </si>
  <si>
    <t>Le Quéré, C; Rödenbeck, C; Buitenhuis, ET; Conway, TJ; Langenfelds, R; Gomez, A; Labuschagne, C; Ramonet, M; Nakazawa, T; Metzl, N; Gillett, N; Heimann, M</t>
  </si>
  <si>
    <t>Le Quere, Corinne; Roedenbeck, Christian; Buitenhuis, Erik T.; Conway, Thomas J.; Langenfelds, Ray; Gomez, Antony; Labuschagne, Casper; Ramonet, Michel; Nakazawa, Takakiyo; Metzl, Nicolas; Gillett, Nathan; Heimann, Martin</t>
  </si>
  <si>
    <t>Saturation of the Southern Ocean CO2 sink due to recent climate change</t>
  </si>
  <si>
    <t>CYCLES</t>
  </si>
  <si>
    <t>Based on observed atmospheric carbon dioxide (CO2) concentration and an inverse method, we estimate that the Southern Ocean sink of CO2 has weakened between 1981 and 2004 by 0.08 petagrams of carbon per year per decade relative to the trend expected from the large increase in atmospheric CO2. We attribute this weakening to the observed increase in Southern Ocean winds resulting from human activities, which is projected to continue in the future. Consequences include a reduction of the efficiency of the Southern Ocean sink of CO2 in the short term (about 25 years) and possibly a higher level of stabilization of atmospheric CO2 on a multicentury time scale.</t>
  </si>
  <si>
    <t>Max Planck Inst Biogeochem, D-07701 Jena, Germany; Univ E Anglia, Sch Environm Sci, Norwich NR4 7TJ, Norfolk, England; British Antarctic Survey, Cambridge CB3 0ET, England; Natl Ocean &amp; Atmospher Adm, Earth Syst Res Lab, Boulder, CO 80305 USA; CSIRO, Marine &amp; Atmospher Res, Aspendale, Vic 3195, Australia; Natl Inst Water &amp; Atmospher Res, Wellington, New Zealand; S African Weather Serv, ZA-7599 Stellenbosch, South Africa; LSCEAPSL, F-91191 Gif Sur Yvette, France; Tohoku Univ, Ctr Atmospher &amp; Ocean Studies, Sendai, Miyagi 9808578, Japan; Univ Paris 06, CNRS, LOCEAN IPSL, Paris, France; Univ E Anglia, Sch Environm Sci, Climat Res Unit, Norwich NR4 7TJ, Norfolk, England</t>
  </si>
  <si>
    <t>Max Planck Society; University of East Anglia; UK Research &amp; Innovation (UKRI); Natural Environment Research Council (NERC); NERC British Antarctic Survey; National Oceanic Atmospheric Admin (NOAA) - USA; Commonwealth Scientific &amp; Industrial Research Organisation (CSIRO); National Institute of Water &amp; Atmospheric Research (NIWA) - New Zealand; Tohoku University; Centre National de la Recherche Scientifique (CNRS); Sorbonne Universite; Museum National d'Histoire Naturelle (MNHN); University of East Anglia</t>
  </si>
  <si>
    <t>Le Quéré, C (corresponding author), Max Planck Inst Biogeochem, Postfach 100164, D-07701 Jena, Germany.</t>
  </si>
  <si>
    <t>c.lequere@uea.ac.uk</t>
  </si>
  <si>
    <t>Heimann, Martin/H-7807-2016; Le Quéré, Corinne/C-2631-2017; Langenfelds, Raymond L/B-5381-2012; Buitenhuis, Erik/A-7692-2012</t>
  </si>
  <si>
    <t>Heimann, Martin/0000-0001-6296-5113; Le Quéré, Corinne/0000-0003-2319-0452; metzl, nicolas/0000-0002-1165-1074; Buitenhuis, Erik/0000-0001-6274-5583; Labuschagne, Casper/0000-0002-7125-0029</t>
  </si>
  <si>
    <t>Natural Environment Research Council [bas010017, NE/C516079/1] Funding Source: researchfish; NERC [bas010017] Funding Source: UKRI</t>
  </si>
  <si>
    <t>10.1126/science.1136188</t>
  </si>
  <si>
    <t>180XE</t>
  </si>
  <si>
    <t>WOS:000247400500044</t>
  </si>
  <si>
    <t>Zheng, JC; Shotyk, W; Krachler, M; Fisher, DA</t>
  </si>
  <si>
    <t>Zheng, Jiancheng; Shotyk, William; Krachler, Michael; Fisher, David A.</t>
  </si>
  <si>
    <t>A 15,800-year record of atmospheric lead deposition on the Devon Island Ice Cap, Nunavut, Canada: Natural and anthropogenic enrichments, isotopic composition, and predominant sources</t>
  </si>
  <si>
    <t>HEAVY-METALS; NORTHERN-HEMISPHERE; CENTRAL GREENLAND; ELLESMERE-ISLAND; PEAT BOG; ENVIRONMENTAL-IMPACT; JURA MOUNTAINS; ANTARCTIC SNOW; OXYGEN-ISOTOPE; POLLUTION</t>
  </si>
  <si>
    <t>Using appropriate clean methods for handling and preparation, 57 ice samples from the Devon Island Ice Cap, representing the period 134 to 15,800 years before present (BP), were analyzed for Pb, Sc, and Pb isotopes (Pb-206, Pb-207, Pb-208) using ICP-SMS. The greatest Pb concentrations were found in samples dating from the Younger Dryas. Despite the large range in Pb concentrations (from 2.2 to 181 pg g(-1)), the Pb concentrations were proportional to those of Sc until 3100 BP when the Pb/Sc ratio exceeded by a factor of 2 the natural background value (Pb/Sc = 6.3 +/- 1.8) for the first time. The uniform ratio of Pb to Sc until 3100 BP is consistent with the hypothesis that soil dust particles derived from physical and chemical weathering dominate the inputs of Pb to the atmosphere, with the magnitude of these sources climate-dependent. Isotopic analyses of Pb further support this paradigm, with the average ratio of Pb-206/Pb-207 (1.230) and Pb-208/Pb-206 (2.059) well within the range given for the Upper Continental Crust (UCC). The shift to higher Pb/Sc ratios and lower Pb-206/Pb-207 values starting at 3100 BP is consistent with historical records and other archival evidence of the onset of atmospheric Pb contamination caused by Pb mining and smelting in the Iberian Peninsula. Since that time, the Devon Island ice core records several other episodes of notable atmospheric Pb contamination, including those dating from Roman and medieval times, as well as the industrial period. The Pb, Sc, and Pb isotope data presented here represent the first chemical and isotopic record of the natural, background atmospheric inputs to the Canadian Arctic, against which modern values may be compared.</t>
  </si>
  <si>
    <t>Geol Survey Canada, Nat Resources Canada, Ottawa, ON K1A 0E8, Canada; Heidelberg Univ, Inst Environm Geochem, D-69117 Heidelberg, Germany</t>
  </si>
  <si>
    <t>Natural Resources Canada; Lands &amp; Minerals Sector - Natural Resources Canada; Geological Survey of Canada; Ruprecht Karls University Heidelberg</t>
  </si>
  <si>
    <t>Zheng, JC (corresponding author), Geol Survey Canada, Nat Resources Canada, 601 Booth St, Ottawa, ON K1A 0E8, Canada.</t>
  </si>
  <si>
    <t>jzheng@nrcan.gc.ca</t>
  </si>
  <si>
    <t>Krachler, Michael/C-4293-2015; Shotyk, William/E-7026-2010</t>
  </si>
  <si>
    <t>Krachler, Michael/0000-0003-0509-8951; Shotyk, William/0000-0002-2584-8388</t>
  </si>
  <si>
    <t>JUN 21</t>
  </si>
  <si>
    <t>GB2027</t>
  </si>
  <si>
    <t>10.1029/2006GB002897</t>
  </si>
  <si>
    <t>182WC</t>
  </si>
  <si>
    <t>WOS:000247533700001</t>
  </si>
  <si>
    <t>Hauck, C; Vieira, G; Gruber, S; Blanco, J; Ramos, M</t>
  </si>
  <si>
    <t>Hauck, Christian; Vieira, Goncalo; Gruber, Stephan; Blanco, Juanjo; Ramos, Miguel</t>
  </si>
  <si>
    <t>Geophysical identification of permafrost in Livingston Island, maritime Antarctica</t>
  </si>
  <si>
    <t>LANDFORMS</t>
  </si>
  <si>
    <t>[1] The current permafrost distribution on Livingston Island, South Shetland Islands, maritime Antarctic, was investigated using electrical resistivity tomography, refraction seismics, and shallow borehole temperatures. The field sites include different geological and geomorphological settings, including ice cored moraines and bedrock sites with debris covers of different thickness. Two-dimensional geophysical inversion schemes were used to analyze spatial heterogeneity at field sites and to detect isolated occurrences of ground ice. Results confirm that permafrost is widespread on Livingston Island, with high ice content in ice cored moraines and little in the cracks and fissures of frozen bedrock. Specific electrical resistivity values range from 10,000 - 40,000 ohm-m ( frozen unconsolidated material) to 1500 - 10,000 ohm-m ( frozen quartzite/shale). Combining seismic P wave velocities and specific electrical resistivities, a typical roof-type'' distribution was found with maximum resistivities coinciding with P wave velocities around 3000 m/s and decreasing resistivities for both increasing and decreasing velocities.</t>
  </si>
  <si>
    <t>Univ Alcala de Henares, Dept Phys, E-28871 Alcala De Henares, Spain; Univ Zurich, Glaciol &amp; Geomorphodynam Grp, Dept Geog, CH-8057 Zurich, Switzerland; Univ Lisbon, Ctr Geog Studies, Fac Letras, P-1600214 Lisbon, Portugal; Univ Savoie, Lab Environm Dynam &amp; Terr Montagne, Ctr Interdisciplinaire Sci Montagne, Savoie, France</t>
  </si>
  <si>
    <t>Universidad de Alcala; University of Zurich; Universidade de Lisboa; Universite Savoie Mont Blanc</t>
  </si>
  <si>
    <t>Hauck, C (corresponding author), Univ Karlsruhe, Forschungszentrum Karlsruhe, Inst Meteorol &amp; Climate Res, Postfach 3640, D-76021 Karlsruhe, Germany.</t>
  </si>
  <si>
    <t>hauck@imk.fzk.de</t>
  </si>
  <si>
    <t>Avalos, Juan Jose Blanco/AAB-9447-2021; Blanco-Avalos, Juan Jose/E-3627-2014; Ramos, Miguel/K-2230-2014; Vieira, Goncalo/G-5958-2010; Gruber, Stephan/E-3884-2010</t>
  </si>
  <si>
    <t>Avalos, Juan Jose Blanco/0000-0002-8666-0696; Blanco-Avalos, Juan Jose/0000-0002-8666-0696; Ramos, Miguel/0000-0003-3648-6818; Vieira, Goncalo/0000-0001-7611-3464; Hauck, Christian/0000-0003-4488-6475; Gruber, Stephan/0000-0002-1079-1542</t>
  </si>
  <si>
    <t>F2</t>
  </si>
  <si>
    <t>F02S19</t>
  </si>
  <si>
    <t>10.1029/2006JF000544</t>
  </si>
  <si>
    <t>182WM</t>
  </si>
  <si>
    <t>WOS:000247534700003</t>
  </si>
  <si>
    <t>Otto-Bliesner, BL; Hewitt, CD; Marchitto, TM; Brady, E; Abe-Ouchi, A; Crucifix, M; Murakami, S; Weber, SL</t>
  </si>
  <si>
    <t>Otto-Bliesner, B. L.; Hewitt, C. D.; Marchitto, T. M.; Brady, E.; Abe-Ouchi, A.; Crucifix, M.; Murakami, S.; Weber, S. L.</t>
  </si>
  <si>
    <t>Last Glacial Maximum ocean thermohaline circulation: PMIP2 model intercomparisons and data constraints</t>
  </si>
  <si>
    <t>NORTH-ATLANTIC; SOUTHERN-OCEAN; DEEP-OCEAN; SEA-ICE; CLIMATE; SIMULATION; SURFACE; GCM; TEMPERATURE; RATES</t>
  </si>
  <si>
    <t>The ocean thermohaline circulation is important for transports of heat and the carbon cycle. We present results from PMIP2 coupled atmosphere-ocean simulations with four climate models that are also being used for future assessments. These models give very different glacial thermohaline circulations even with comparable circulations for present. An integrated approach using results from these simulations for Last Glacial Maximum (LGM) with proxies of the state of the glacial surface and deep Atlantic supports the interpretation from nutrient tracers that the boundary between North Atlantic Deep Water and Antarctic Bottom Water was much shallower during this period. There is less constraint from this integrated reconstruction regarding the strength of the LGM North Atlantic overturning circulation, although together they suggest that it was neither appreciably stronger nor weaker than modern. Two model simulations identify a role for sea ice in both hemispheres in driving the ocean response to glacial forcing.</t>
  </si>
  <si>
    <t>Natl Ctr Atmospher Res, Climate &amp; Global Dynam Div, Earth &amp; Sun Syst Lab, Boulder, CO 80307 USA; Met Off, Hadley Ctr Climate Predict &amp; Res, Exeter EX1 3PB, Devon, England; Univ Colorado, Dept Geol Sci, Boulder, CO 80309 USA; Univ Colorado, Inst Arctic &amp; Alpine Res, Boulder, CO 80309 USA; Univ Tokyo, Ctr Climate Syst Res, Kashiwa, Chiba 2778568, Japan; Japan Agcy Marine Earth Sci &amp; Technol, Frontier Res Ctr Global Change, Yokohama, Kanagawa, Japan; Meteorol Res Inst, Tsukuba, Ibaraki 3050052, Japan; Royal Netherlands Meteorol Inst, NL-3730 AE De Bilt, Netherlands</t>
  </si>
  <si>
    <t>National Center Atmospheric Research (NCAR) - USA; Met Office - UK; Hadley Centre; University of Colorado System; University of Colorado Boulder; University of Colorado System; University of Colorado Boulder; University of Tokyo; Japan Agency for Marine-Earth Science &amp; Technology (JAMSTEC); Meteorological Research Institute - Japan; Royal Netherlands Meteorological Institute</t>
  </si>
  <si>
    <t>Otto-Bliesner, BL (corresponding author), Natl Ctr Atmospher Res, Climate &amp; Global Dynam Div, Earth &amp; Sun Syst Lab, POB 3000, Boulder, CO 80307 USA.</t>
  </si>
  <si>
    <t>ottobli@ucar.edu</t>
  </si>
  <si>
    <t>Otto-Bliesner, Bette/AAY-7691-2020; Abe-Ouchi, Ayako A/M-6359-2013</t>
  </si>
  <si>
    <t>Abe-Ouchi, Ayako A/0000-0003-1745-5952; Hewitt, Chris/0000-0002-4718-4009; MARCHITTO, THOMAS/0000-0003-2397-8768; Crucifix, Michel/0000-0002-3437-4911</t>
  </si>
  <si>
    <t>JUN 20</t>
  </si>
  <si>
    <t>L12706</t>
  </si>
  <si>
    <t>10.1029/2007GL029475</t>
  </si>
  <si>
    <t>182VV</t>
  </si>
  <si>
    <t>WOS:000247533000001</t>
  </si>
  <si>
    <t>Johanson, CM; Fu, Q</t>
  </si>
  <si>
    <t>Johanson, Celeste M.; Fu, Qiang</t>
  </si>
  <si>
    <t>Antarctic atmospheric temperature trend patterns from satellite observations</t>
  </si>
  <si>
    <t>HEMISPHERE CLIMATE-CHANGE; TROPOSPHERIC TEMPERATURE; SOUTHERN-HEMISPHERE; MSU CHANNEL-2; SURFACE; WINTER</t>
  </si>
  <si>
    <t>Tropospheric temperatures in the Antarctic are retrieved by linearly combining satellite-borne Microwave Sounding Unit (MSU) channels 2 and 4 observations. We show good agreement between satellite-inferred temperature trends and radiosonde observations. It is illustrated that the Antarctic troposphere has cooled in the summer and fall seasons since 1979, in agreement with Thompson and Solomon ( 2002). It is shown that significant tropospheric warming prevails during Antarctic winters and springs, but we also find significant winter cooling over half of East Antarctica. We find the largest winter tropospheric warming of about 0.6 K/decade for 1979 - 2005 between 120 degrees W and 180 degrees W. Homogeneous winter tropospheric warming over Antarctica from the ERA-40 reanalysis is not supported by the MSU observations. While MSU stratospheric temperatures exhibit the expected large cooling during the spring and summer seasons, we also find large stratospheric warming over half the southern hemisphere high latitudes in the winter and spring seasons.</t>
  </si>
  <si>
    <t>Univ Washington, Dept Atmospher Sci, Seattle, WA 98195 USA</t>
  </si>
  <si>
    <t>University of Washington; University of Washington Seattle</t>
  </si>
  <si>
    <t>Johanson, CM (corresponding author), Univ Washington, Dept Atmospher Sci, Seattle, WA 98195 USA.</t>
  </si>
  <si>
    <t>celestej@atmos.washington.edu</t>
  </si>
  <si>
    <t>Fu, Qiang/W-5836-2019</t>
  </si>
  <si>
    <t>JUN 19</t>
  </si>
  <si>
    <t>L12703</t>
  </si>
  <si>
    <t>10.1029/2006GL029108</t>
  </si>
  <si>
    <t>182VU</t>
  </si>
  <si>
    <t>WOS:000247532900001</t>
  </si>
  <si>
    <t>Magand, O; Genthon, C; Fily, M; Krinner, G; Picard, G; Frezzotti, M; Ekaykin, AA</t>
  </si>
  <si>
    <t>Magand, O.; Genthon, C.; Fily, M.; Krinner, G.; Picard, G.; Frezzotti, M.; Ekaykin, A. A.</t>
  </si>
  <si>
    <t>An up-to-date quality-controlled surface mass balance data set for the 90°-180° E Antarctica sector and 1950-2005 period</t>
  </si>
  <si>
    <t>SNOW ACCUMULATION RATES; EAST ANTARCTICA; SOUTH-POLE; TEMPORAL VARIABILITY; CLIMATE VARIABILITY; FALLOUT; CIRCULATION; LEVEL; LAND; CHEMISTRY</t>
  </si>
  <si>
    <t>[1] On the basis of thousands of surface mass balance (SMB) field measurements over the entire Antarctic ice sheet it is currently estimated that more than 2 Gt of ice accumulate each year at the surface of Antarctica. However, these estimates suffer from large uncertainties. Various problems affect Antarctic SMB measurements, in particular, limited or unwarranted spatial and temporal representativeness, measurement inaccuracy, and lack of quality control. We define quality criteria on the basis of ( 1) an up-to-date review and quality rating of the various SMB measurement methods and ( 2) essential information ( location, dates of measurements, time period covered by the SMB values, and primary data sources) related to each SMB data. We apply these criteria to available SMB values from Queen Mary to Victoria lands (90 degrees - 180 degrees E Antarctic sector) from the early 1950s to present. This results in a new set of observed SMB values for the 1950 - 2005 time period with strong reduction in density and coverage but also expectedly reduced inaccuracies and uncertainties compared to other compilations. The quality-controlled SMB data set also contains new results from recent field campaigns ( International Trans-Antarctic Scientific Expedition (ITASE), Russian Antarctic Expedition (RAE), and Australian National Antarctic Research Expeditions (ANARE) projects) which comply with the defined quality criteria. A comparative evaluation of climate model results against the quality-controlled updated SMB data set and other widely used ones illustrates that such Antarctic SMB studies are significantly affected by the quality of field SMB values used as reference.</t>
  </si>
  <si>
    <t>Univ Grenoble 1, CNRS, Lab Glaciol &amp; Geophys Environm, F-38402 St Martin Dheres, France; Ente Nuove Tecnol Energia &amp; Ambiente, I-00100 Rome, Italy; Arctic &amp; Antarctic Res Inst, St Petersburg 199397, Russia</t>
  </si>
  <si>
    <t>Centre National de la Recherche Scientifique (CNRS); Communaute Universite Grenoble Alpes; Universite Grenoble Alpes (UGA); Italian National Agency New Technical Energy &amp; Sustainable Economics Development; Arctic &amp; Antarctic Research Institute</t>
  </si>
  <si>
    <t>Magand, O (corresponding author), Univ Grenoble 1, CNRS, Lab Glaciol &amp; Geophys Environm, 54 Rue Molieres,BP 96, F-38402 St Martin Dheres, France.</t>
  </si>
  <si>
    <t>magand@lgge.obs.ujf-grenoble.fr</t>
  </si>
  <si>
    <t>Krinner, Gerhard/A-6450-2011; Ekaykin, Alexey A./K-9894-2015; FREZZOTTI, Massimo/AAK-7275-2020; Picard, Ghislain/D-4246-2013; Krinner, Gerhard/AAB-8837-2022; Lipenkov, Vladimir/Q-8262-2016</t>
  </si>
  <si>
    <t>FREZZOTTI, Massimo/0000-0002-2461-2883; Picard, Ghislain/0000-0003-1475-5853; Krinner, Gerhard/0000-0002-2959-5920; Lipenkov, Vladimir/0000-0003-4221-5440</t>
  </si>
  <si>
    <t>D12106</t>
  </si>
  <si>
    <t>10.1029/2006JD007691</t>
  </si>
  <si>
    <t>182WE</t>
  </si>
  <si>
    <t>WOS:000247533900001</t>
  </si>
  <si>
    <t>Ford, RG; Ainley, DG; Brown, ED; Suryan, RM; Irons, DB</t>
  </si>
  <si>
    <t>Ford, R. Glenn; Ainley, David G.; Brown, Evelyn D.; Suryan, Robert M.; Irons, David B.</t>
  </si>
  <si>
    <t>A spatially explicit optimal foraging model of Black-legged Kittiwake behavior based on prey density, travel distances, and colony size</t>
  </si>
  <si>
    <t>Black-legged Kittiwake; cellular automata; colonial breeding; foraging behavior; interference competition; optimal foraging; population spatial structure; prey distribution; Rissa tridactyla</t>
  </si>
  <si>
    <t>INTRA-SPECIFIC COMPETITION; REPRODUCTIVE SUCCESS; RISSA-TRIDACTYLA; GEOGRAPHIC STRUCTURE; HABITAT SELECTION; ANTARCTIC PETREL; NORTH-SEA; FOOD; STRATEGIES; SEABIRDS</t>
  </si>
  <si>
    <t>We developed a spatially explicit population model (FORAGER) that simulates the foraging movements of Black-legged Kittiwakes (Rissa tridactyla) in Prince William Sound (PWS), Alaska, an oceanographically, spatially, and temporally complex marine environment where the foraging behavior of this species has been extensively studied. Kittimake foraging behavior had been previously modeled in the North Sea, an area spatially less complex than PWS, and we make comparisons to those studies. We calibrated and evaluated FORAGER by comparing predicted with observed bird movements, as well as with the predictions of a multiple regression model. Empirical data were derived from radio-telemetered kittiwakes tracked in an area where aerial surveys were determining the distribution and abundance of suitable prey schools over two years. The model simulated a predator searching for a school in a grid-based (2.78 km x 2.78 km) environment. The simulated predator is aware of fish-school density within a specified neighborhood around its current grid cell, and moves to an adjacent cell in order to maximize its prey encounter rate while avoiding cells that are primarily land. When a school is successfully found and exploited, the kittiwake returns to its colony by direct flight. Colony foraging grounds are created by simulating multiple foraging trips, each based on a different distribution of fish schools created by randomly perturbing the observed distributions. The four-parameter FORAGER model outperformed comparable multiple regression models, explaining on average 68% of the variation in observed kittiwake foraging behavior using a polar grid, and 44% using a rectangular grid. A four-parameter multiple regression model based on the same data set accounted for only 35 and 28% of the variation, respectively, depending on grid structure. Comparison of simulated and observed behavior suggests that kittiwakes in PWS plan their movements only within a neighborhood of about four grid cells, rely heavily on information gathered while foraging (including both negative and positive indications from conspecifics), and rely only somewhat on memory of prey distribution, as has been hypothesized to be effective in less complex regions (North Sea). FORAGER predicts that kittiwake movements should differ from the Ideal Free Distribution because of the predators' uncertainty as to the actual prey distribution. Model results also indicate little relationship between the actual location of breeding colonies and local areas of high prey availability. Comparison of actual colony locations with randomly sited colony locations, however, showed that the former minimize the interaction among foraging kittiwakes from different colonies. (C) 2007 Elsevier B.V. All rights reserved.</t>
  </si>
  <si>
    <t>Univ Calif Santa Cruz, Inst Marine Sci, Santa Cruz, CA 95064 USA; HT Harvey &amp; Assoc, San Jose, CA 95118 USA; Univ Alaska, Inst Marine Sci, Fairbanks, AK 99775 USA; US Fish &amp; Wildlife Serv, Migratory Bird Management, Anchorage, AK 99503 USA</t>
  </si>
  <si>
    <t>University of California System; University of California Santa Cruz; University of Alaska System; University of Alaska Fairbanks; United States Department of the Interior; US Fish &amp; Wildlife Service</t>
  </si>
  <si>
    <t>Ford, RG (corresponding author), Univ Calif Santa Cruz, Inst Marine Sci, Santa Cruz, CA 95064 USA.</t>
  </si>
  <si>
    <t>eci@teleport.com; dainley@penguinscience.com; ebrown@ims.alaska.edu; rob.suryan@orst.edu; david_irons@fws.gov</t>
  </si>
  <si>
    <t>JUN 16</t>
  </si>
  <si>
    <t>10.1016/j.ecolmodel.2007.01.010</t>
  </si>
  <si>
    <t>171PA</t>
  </si>
  <si>
    <t>WOS:000246746700006</t>
  </si>
  <si>
    <t>McCabe, JR; Thiemens, MH; Savarino, J</t>
  </si>
  <si>
    <t>McCabe, Justin R.; Thiemens, Mark H.; Savarino, Joel</t>
  </si>
  <si>
    <t>A record of ozone variability in South Pole Antarctic snow: Role of nitrate oxygen isotopes</t>
  </si>
  <si>
    <t>STRATOSPHERIC OZONE; TROPOSPHERIC OZONE; NOX PRODUCTION; CHEMISTRY; ICE; DEPLETION; ACID; FRACTIONATION; DELTA-O-17; PARTICLES</t>
  </si>
  <si>
    <t>[1] The information contained in polar nitrate has been an unresolved issue for over a decade. Here we demonstrate that atmospheric nitrate's oxygen isotopic composition (Delta O-17-NO3) reflects stratospheric chemistry in winter and tropospheric chemistry in summer. Surface snow isotope mass balance indicates that nitrate oxygen isotopic composition is the result of a mixture of 25% stratospheric and 75% tropospheric origin. Analysis of trends in Delta O-17-NO3 in a 6 m snow pit that provides a 26-year record reveals a strong 2.70-year cycle that anticorrelates ( R = - 0.77) with October - November December column ozone. The potential mechanisms linking the records are either denitrification or increased boundary layer photochemical ozone production. We suggest that the latter is dominating the observed trend and find that surface ozone and Delta O-17-NO3 correlate well before 1991 ( R = 0.93). After 1991, however, the records show no significant relationship, indicating an altered oxidative environment consistent with current understanding of a highly oxidizing atmosphere at the South Pole. The disappearance of seasonal Delta O-17-NO3 trends in the surface layer at depth remain unresolved and demand further investigation of how postdepositional processes affect nitrate's oxygen isotope composition. Overall, the findings of this study present a new paleoclimate technique to investigate Antarctic nitrate records that appear to reflect trends in stratospheric ozone depletion by recording tropospheric surface ozone variability.</t>
  </si>
  <si>
    <t>Univ Calif San Diego, Dept Chem &amp; Biochem, La Jolla, CA 92093 USA; Univ Grenoble 1, CNRS, Lab Glaciol &amp; Geophys Environm, F-38402 St Martin Dheres, France</t>
  </si>
  <si>
    <t>University of California System; University of California San Diego; Centre National de la Recherche Scientifique (CNRS); Communaute Universite Grenoble Alpes; Universite Grenoble Alpes (UGA)</t>
  </si>
  <si>
    <t>McCabe, JR (corresponding author), Univ Calif San Diego, Dept Chem &amp; Biochem, 9500 Gilman Dr, La Jolla, CA 92093 USA.</t>
  </si>
  <si>
    <t>jmccabe@ucsd.edu</t>
  </si>
  <si>
    <t>Savarino, Joel/H-9730-2012</t>
  </si>
  <si>
    <t>Savarino, Joel/0000-0002-6708-9623</t>
  </si>
  <si>
    <t>D12303</t>
  </si>
  <si>
    <t>10.1029/2006JD007822</t>
  </si>
  <si>
    <t>180MT</t>
  </si>
  <si>
    <t>WOS:000247369600002</t>
  </si>
  <si>
    <t>Siggaard-Andersen, ML; Gabrielli, P; Steffensen, JP; Stromfeldt, T; Barbante, C; Boutron, C; Fischer, H; Miller, H</t>
  </si>
  <si>
    <t>Siggaard-Andersen, Marie-Louise; Gabrielli, Paolo; Steffensen, Jorgen Peder; Stromfeldt, Trine; Barbante, Carlo; Boutron, Claude; Fischer, Hubertus; Miller, Heinz</t>
  </si>
  <si>
    <t>Soluble and insoluble lithium dust in the EPICA DomeC ice core - Implications for changes of the East Antarctic dust provenance during the recent glacial-interglacial transition</t>
  </si>
  <si>
    <t>lithium; EPICA; Antarctica; eolian dust; last transition; climate</t>
  </si>
  <si>
    <t>TRACE-ELEMENTS; GRAM LEVEL; POLAR ICE; VOSTOK; TRANSPORT; AEROSOL; CLIMATE; SAMPLES; ORIGIN; RECORD</t>
  </si>
  <si>
    <t>Continental dust impurities in Antarctic ice provide information on climate changes in the dust source areas and on past atmospheric circulation. We investigated records of dust species from the last 45 ka in the East Antarctic EPICA DomeC (EDC) ice core with special emphasis on the lithium (Li) content of dust. We obtained two complementary Li-records using a new Ion Chromatography (IC) technique in line with Inductively Coupled Plasma-Sector Field Mass Spectroscopy (ICP-SFMS). Concentrations of soluble Li (Li+) were obtained using IC, while total concentrations of Li (Li-T) were obtained using ICP-SFMS, providing an ideal opportunity to investigate the soluble and insoluble chemistry of Li in East Antarctic dust over the last glacial-interglacial transition. The records show that changes in the solubility of Li are associated with climatic changes. For the late glacial period and the Antarctic Cold Reversal (ACR) a large fraction, up to 75%, of the Li-T content is present as insoluble minerals whereas for the Holocene period it seems that Li is present mainly as soluble salts (Li+). We compared the concentrations of Li+ with the concentrations of Ca2+ and the mass and size characteristics of the dust, which were obtained using Coulter Counting (CC). Furthermore we compared the concentrations of Li-T with the concentrations of Ba-T- Our analysis suggests that the changes in solubility of Li along the EDC ice core are related to changes in compositions of the dust minerals. During the late glacial period, changes in the dust composition is characteristic of variations in the strength of the atmospheric circulation, while changes over the last glacial-interglacial transition are indicative of a change in the major dust source areas. The dust characteristics for the glacial and the Holocene periods indicate two different dust types. The glacial dust type partly disappeared after the ACR, while the Holocene dust type appeared significantly after around 16 ka BP and became dominant after the ACR. The relative increase in the Holocene dust type at the glacial-interglacial transition could be due to changed conditions in the potential source area or to changed patterns of atmospheric circulation, resulting in enhanced transport from a source area that was different from the glacial source areas. (C) 2007 Elsevier B.V. All rights reserved.</t>
  </si>
  <si>
    <t>Univ Copenhagen, Niels Bohr Inst, DK-2100 Copenhagen O, Denmark; Alfred Wegener Inst Polar &amp; Marine Res, D-27568 Bremerhaven, Germany; Univ Venice, Dept Environm Sci, I-30123 Venice, Italy; UJF, CNRS, UMR 5183, Lab Glaciol &amp; Geophys Environm, F-38402 St Martin Dheres, France</t>
  </si>
  <si>
    <t>University of Copenhagen; Niels Bohr Institute; Helmholtz Association; Alfred Wegener Institute, Helmholtz Centre for Polar &amp; Marine Research; Universita Ca Foscari Venezia; Centre National de la Recherche Scientifique (CNRS); Communaute Universite Grenoble Alpes; Universite Grenoble Alpes (UGA)</t>
  </si>
  <si>
    <t>Siggaard-Andersen, ML (corresponding author), Univ Copenhagen, Niels Bohr Inst, Juliane Mariesvej 30, DK-2100 Copenhagen O, Denmark.</t>
  </si>
  <si>
    <t>mlsa@gfy.ku.dk</t>
  </si>
  <si>
    <t>Barbante, Carlo/B-3195-2011; Steffensen, Jorgen Peder/JFS-7831-2023; Fischer, Hubertus/A-1211-2014</t>
  </si>
  <si>
    <t>Steffensen, Jorgen Peder/0000-0002-5516-1093; Miller, Heinrich/0000-0003-1015-2828; Fischer, Hubertus/0000-0002-2787-4221; Barbante, Carlo/0000-0003-4177-2288</t>
  </si>
  <si>
    <t>JUN 15</t>
  </si>
  <si>
    <t>10.1016/j.epsl.2007.03.013</t>
  </si>
  <si>
    <t>187DR</t>
  </si>
  <si>
    <t>WOS:000247828000003</t>
  </si>
  <si>
    <t>Bergquist, BA; Wu, J; Boyle, EA</t>
  </si>
  <si>
    <t>Bergquist, B. A.; Wu, J.; Boyle, E. A.</t>
  </si>
  <si>
    <t>Variability in oceanic dissolved iron is dominated by the colloidal fraction</t>
  </si>
  <si>
    <t>EQUATORIAL PACIFIC-OCEAN; NATURAL ORGANIC-LIGANDS; CENTRAL NORTH PACIFIC; SOUTHERN-OCEAN; PHYTOPLANKTON BLOOM; ATLANTIC-OCEAN; ATMOSPHERIC TRANSPORT; KINETIC APPROACH; COMPLEXATION; FE</t>
  </si>
  <si>
    <t>Oceanic surface and deep iron distribution and size fractionation were investigated on three cruises in the sub-tropical and tropical Atlantic Ocean. Detailed profiles and transects were collected and analyzed for dissolved Fe (DFe, 0.4 mu m filtered) and soluble Fe (SFe, 0.02 mu m filtered). The difference between DFe and SFe is inferred to be the colloidal fraction of Fe (CFe). SFe concentration distributions and profiles showed little variability in the Atlantic Ocean with slightly lower concentrations of SFe in the upper ocean than the relatively uniform concentrations observed in deep-water (approximate to 0.3 to 0.4 nmol/kg). In contrast, variability in the Atlantic DFe was dominated by variability in CFe. DFe and CFe followed dust deposition trends, and observed surface maxima in DFe profiles were always due to maxima in the CFe fraction. Where dust deposition and surface DFe were low (i.e., the South Atlantic), the CFe fraction of DFe was low and frequently negligible in surface waters. Below the surface maxima in CFe and DFe, CFe always decreased to negligible levels at 30-80 m, remained low or negligible throughout the pycnocline, and increased with depth below the pycnocline. At a site located on the edge of the equatorial system (10 degrees N), high DFe and CFe concentrations were associated with an oxygen minimum zone (OMZ) at depths of 130 to I 100 m. Deep-water DFe and CFe concentrations varied between water masses depending on the source, age, and path of the water masses. DFe in NADW decreased by 30% from the North Atlantic to the South Atlantic site with most of the decrease due to loss of CFe. At the South Atlantic site, NADW had higher DFe and a higher fraction of CFe than the Antarctic water masses. (c) 2007 Elsevier Ltd. All rights reserved.</t>
  </si>
  <si>
    <t>Univ Michigan, Dept Geol Sci, Ann Arbor, MI 48109 USA; Univ Alaska Fairbanks, Int Arctic Res Ctr, Fairbanks, AK 99775 USA; MIT, Cambridge, MA 02139 USA</t>
  </si>
  <si>
    <t>University of Michigan System; University of Michigan; University of Alaska System; University of Alaska Fairbanks; Massachusetts Institute of Technology (MIT)</t>
  </si>
  <si>
    <t>Bergquist, BA (corresponding author), Univ Michigan, Dept Geol Sci, 2534 CC Little Bldg,1100 N Univ Ave, Ann Arbor, MI 48109 USA.</t>
  </si>
  <si>
    <t>bbergqui@umich.edu</t>
  </si>
  <si>
    <t>Wu, Jingfeng/B-1301-2012</t>
  </si>
  <si>
    <t>Wu, Jingfeng/0000-0003-0156-1507</t>
  </si>
  <si>
    <t>10.1016/j.gca.2007.03.013</t>
  </si>
  <si>
    <t>178JG</t>
  </si>
  <si>
    <t>WOS:000247216400004</t>
  </si>
  <si>
    <t>Baker, I; Obbard, R; Iliescu, D; Meese, D</t>
  </si>
  <si>
    <t>Baker, I.; Obbard, R.; Iliescu, D.; Meese, D.</t>
  </si>
  <si>
    <t>Microstructural characterization of firn</t>
  </si>
  <si>
    <t>HYDROLOGICAL PROCESSES</t>
  </si>
  <si>
    <t>63rd Eastern Snow Conference</t>
  </si>
  <si>
    <t>JUN 07-09, 2006</t>
  </si>
  <si>
    <t>Univ Delaware, Newark, DE</t>
  </si>
  <si>
    <t>Univ Delaware</t>
  </si>
  <si>
    <t>firn; snow; porosity; surface area; scanning electron microscopy; x-ray microanalysis</t>
  </si>
  <si>
    <t>GRAIN-BOUNDARY RIDGE; POLAR ICE; SINTERED BONDS; SNOW CRYSTALS; ELECTRON; IMPURITIES; CHEMISTRY; ACID</t>
  </si>
  <si>
    <t>In this paper, we use a scanning electron microscope (SEM) coupled with X-ray spectroscopy and electron back-scattered diffraction patterns to examine firn in cores retrieved by the United States International Trans-Antarctic Scientific Expedition. From grain boundary grooves we were able to see where the previously existing snow crystals were joined, and can determine grain sizes. From the SEM images, the porosity and the surface area per unit volume of the pores were measured. Finally, we have shown that we can determine the microchemistry of impurities in firn and demonstrated that we can determine the orientations of the firn crystals. Copyright (C) 2007 John Wiley &amp; Sons, Ltd.</t>
  </si>
  <si>
    <t>Dartmouth Coll, Thayer Sch Engn, Hanover, NH 03755 USA; Univ Maine, Climate Change Inst, Orono, ME 04469 USA</t>
  </si>
  <si>
    <t>Dartmouth College; University of Maine System; University of Maine Orono</t>
  </si>
  <si>
    <t>Baker, I (corresponding author), Dartmouth Coll, Thayer Sch Engn, Hanover, NH 03755 USA.</t>
  </si>
  <si>
    <t>Ian.Baker@Dartmouth.edu</t>
  </si>
  <si>
    <t>0885-6087</t>
  </si>
  <si>
    <t>1099-1085</t>
  </si>
  <si>
    <t>HYDROL PROCESS</t>
  </si>
  <si>
    <t>Hydrol. Process.</t>
  </si>
  <si>
    <t>10.1002/hyp.6725</t>
  </si>
  <si>
    <t>Water Resources</t>
  </si>
  <si>
    <t>181LN</t>
  </si>
  <si>
    <t>WOS:000247438300011</t>
  </si>
  <si>
    <t>Heywood, KJ; Stevens, DP</t>
  </si>
  <si>
    <t>Heywood, Karen J.; Stevens, David P.</t>
  </si>
  <si>
    <t>Meridional heat transport across the Antarctic Circumpolar Current by the Antarctic Bottom Water overturning cell</t>
  </si>
  <si>
    <t>SOUTHERN-OCEAN; MOTIONS; FLUX</t>
  </si>
  <si>
    <t>The heat transported by the lower limb of the Southern Ocean meridional overturning circulation is commonly held to be negligible in comparison with that transported by eddies higher in the water column. We use output from one of the first global high resolution models to have a reasonably realistic export of Antarctic Bottom Water, the OCCAM one twelfth degree model. The heat fluxed southward by the deep overturning cell using the annual mean field for 1994 at 56S is 0.033 PW, but the 5-day mean fields give a larger heat flux (0.048 and 0.061 PW depending on calculation method). This is more than 30% of previous estimates of the total heat flux. Eddies and other transients add considerably to the heat flux. These results imply that this component of meridional heat flux may not be negligible as has been supposed.</t>
  </si>
  <si>
    <t>Univ E Anglia, Sch Environm Sci, Norwich NR4 7TJ, Norfolk, England; Univ E Anglia, Sch Math, Norwich NR4 7TJ, Norfolk, England</t>
  </si>
  <si>
    <t>University of East Anglia; University of East Anglia</t>
  </si>
  <si>
    <t>Heywood, KJ (corresponding author), Univ E Anglia, Sch Environm Sci, Norwich NR4 7TJ, Norfolk, England.</t>
  </si>
  <si>
    <t>k.heywood@uea.ac.uk; d.stevens@uea.ac.uk</t>
  </si>
  <si>
    <t>Heywood, Karen/L-1757-2016; Stevens, David/F-2509-2010</t>
  </si>
  <si>
    <t>Heywood, Karen/0000-0001-9859-0026; Stevens, David/0000-0002-7283-4405</t>
  </si>
  <si>
    <t>JUN 14</t>
  </si>
  <si>
    <t>L11610</t>
  </si>
  <si>
    <t>10.1029/2007GL030130</t>
  </si>
  <si>
    <t>180ML</t>
  </si>
  <si>
    <t>Green Submitted, Bronze, Green Accepted</t>
  </si>
  <si>
    <t>WOS:000247368700007</t>
  </si>
  <si>
    <t>Jozwiak, P; Blazewicz-Paszkowycz, M</t>
  </si>
  <si>
    <t>Jozwiak, Piotr; Blazewicz-Paszkowycz, Magdalena</t>
  </si>
  <si>
    <t>New records of two rare genera, Monstrotanais Kudinova-Pasternak, 1981 and Robustochelia Kudinova-Pasternak, 1983 (Tanaidacea: Crustacea)</t>
  </si>
  <si>
    <t>Tanaidacea; Tanaidomorpha; Monstrotanais; Robustognathia; abyssal; Antarctic</t>
  </si>
  <si>
    <t>TANAIDOMORPHA; ATLANTIC; WATERS; OCEAN</t>
  </si>
  <si>
    <t>Two new species of two rare genera, Monstrotanais ingens n. sp. and Robustochelia virilis n. sp., have been described from the material collected during cruises of r/v Eltanin. The type species of Robustochelia, R. robusta (Kudinova-Pasternak, 1970) has been redescribed based on the well preserved holotype. Diagnoses of the two genera have been amended and key for Robustochelia species has been proposed. Currently two species are assigned to Monstrotanais and four to Robustochelia. Robustochelia solida Larsen, 2005 is now excluded from the genus and possibility of establishing a new genus for the species is considered.</t>
  </si>
  <si>
    <t>Univ Lodz, Dept Polar Biol &amp; Oceanobiol, PL-90237 Lodz, Poland</t>
  </si>
  <si>
    <t>University of Lodz</t>
  </si>
  <si>
    <t>Jozwiak, P (corresponding author), Univ Lodz, Dept Polar Biol &amp; Oceanobiol, PL-90237 Lodz, Poland.</t>
  </si>
  <si>
    <t>magdab@biol.uni.lodz.pl</t>
  </si>
  <si>
    <t>Błażewicz, Magdalena/J-5175-2017</t>
  </si>
  <si>
    <t>Jozwiak, Piotr/0000-0002-5171-3145; Blazewicz, Magdalena/0000-0002-4753-3424</t>
  </si>
  <si>
    <t>178HS</t>
  </si>
  <si>
    <t>WOS:000247212400002</t>
  </si>
  <si>
    <t>Hemming, SR; van de Flierdt, T; Goldstein, SL; Franzese, AM; Roy, M; Gastineau, G; Landrot, G</t>
  </si>
  <si>
    <t>Hemming, S. R.; van de Flierdt, T.; Goldstein, S. L.; Franzese, A. M.; Roy, M.; Gastineau, G.; Landrot, G.</t>
  </si>
  <si>
    <t>Strontium isotope tracing of terrigenous sediment dispersal in the Antarctic Circumpolar Current: Implications for constraining frontal positions</t>
  </si>
  <si>
    <t>strontium isotopes; Antarctica; Antarctic Circumpolar Current; terrigenous sediments; provenance; neodymium isotopes</t>
  </si>
  <si>
    <t>LAST GLACIAL MAXIMUM; DEEP-SEA SEDIMENTS; ATMOSPHERIC CARBON-DIOXIDE; RB-SR CHRONOLOGY; SOUTHERN-OCEAN; SM-ND; SURFACE TEMPERATURE; CRUSTAL EVOLUTION; ATLANTIC SECTOR; CO2 VARIATIONS</t>
  </si>
  <si>
    <t>[1] The vigor of the glacial Antarctic Circumpolar Current (ACC) and the locations of frontal boundaries are important parameters for understanding the role of the Southern Ocean in global climate change. Toward the goal of understanding the locations of currents we present a survey of Sr isotope ratios in terrigenous sediments around the perimeter of Antarctica. The pattern of the variations within the modern ACC is used to suggest that terrigenous sediment from Antarctica is injected into the ACC via the Ross and Weddell gyres in the south. North of the main ACC the Sr isotopes reflect continental contributions from Africa, Australia-New Zealand, and South America. Along a transect northward from the Ross Sea, Sr isotope ratios show a decrease from higher values in the south ( Antarctic provenance) to lower values in the north ( provenance from New Zealand). This otherwise monotonic decrease is interrupted within the ACC by a zigzag'' to lower and then higher values, which accompanies minimum terrigenous flux. This zigzag requires contributions from two additional sediment sources beyond the main Antarctic and New Zealand end-members. The lower Sr isotope ratios are attributable to greater contributions from basaltic sources within the current, a consistent pattern around the ACC. The samples with higher Sr isotope ratios point to an additional contributor, possibly a wind-transported component from Australia. During the LGM there is a systematic geographical variation in the Sr isotope ratios, similar to that of the Holocene. A small offset of the zigzag to the north ( approximately 1 degrees-2 degrees) may indicate a small northward shift of the southern boundary of the ACC. More highly resolved data are required to test whether this northward shift is really significant and whether it applies to other ACC fronts during the LGM.</t>
  </si>
  <si>
    <t>Columbia Univ, Lamont Doherty Earth Observ, Palisades, NY 10964 USA; Columbia Univ, Dept Earth &amp; Environm Sci, New York, NY 10027 USA</t>
  </si>
  <si>
    <t>Columbia University; Columbia University</t>
  </si>
  <si>
    <t>Hemming, SR (corresponding author), Columbia Univ, Lamont Doherty Earth Observ, 61 Route 9W, Palisades, NY 10964 USA.</t>
  </si>
  <si>
    <t>sidney@ldeo.columbia.edu</t>
  </si>
  <si>
    <t>Franzese, Allison/0000-0003-0311-0830; Goldstein, Steven L/0000-0001-7252-8064; Hemming, Sidney/0000-0001-8117-2303</t>
  </si>
  <si>
    <t>Directorate For Geosciences; Division Of Ocean Sciences [0751761] Funding Source: National Science Foundation</t>
  </si>
  <si>
    <t>Directorate For Geosciences; Division Of Ocean Sciences(National Science Foundation (NSF)NSF - Directorate for Geosciences (GEO))</t>
  </si>
  <si>
    <t>JUN 13</t>
  </si>
  <si>
    <t>Q06N13</t>
  </si>
  <si>
    <t>10.1029/2006GC001441</t>
  </si>
  <si>
    <t>180MG</t>
  </si>
  <si>
    <t>Green Published, hybrid</t>
  </si>
  <si>
    <t>WOS:000247368000001</t>
  </si>
  <si>
    <t>Gebbie, G</t>
  </si>
  <si>
    <t>Gebbie, Geoffrey</t>
  </si>
  <si>
    <t>Does eddy subduction matter in the northeast Atlantic Ocean?</t>
  </si>
  <si>
    <t>WATER MASS FORMATION; AIR-SEA FLUXES; MIXED-LAYER; MODEL; TRANSFORMATION; CIRCULATION; VENTILATION; THERMOCLINE; ENTRAINMENT; FRONT</t>
  </si>
  <si>
    <t>[1] Mesoscale eddies are an important contributor to subduction in the Gulf Stream region and the Antarctic Circumpolar Current, but is eddy subduction also important in the relatively quiescent interior of the world's subtropical gyres? Observations from the Subduction Experiment of the northeast Atlantic do not have the spatial resolution necessary to calculate eddy subduction and answer this question. Regional numerical models can diagnose subduction, but their representativeness is unknown. Furthermore, water mass budgets in an open-ocean domain show that the simulated properties of subducted water directly depend upon uncertain open-boundary conditions and surface fluxes. To remedy these problems, a state estimate of the ocean circulation is formed by constraining an eddy-permitting general circulation model to observations by adjusting the model parameters within their uncertainty. The resulting estimate is self-consistent with the equations of motion and has the necessary resolution for diagnosing subduction. In the northeast Atlantic during 1991 - 1993, the time-variable circulation contributes less than 1 Sv of net subduction, while the total subduction is 4 Sv. Eddy volume fluxes of 40 m/yr in the North Equatorial Current and the Azores Current, however, are significant and rival the subduction by Ekman pumping locally. Furthermore, a state estimate at 1/6 degrees resolution has 2 - 3 Sv more subduction in the density bands centered around sigma = 24.0 kg/m(3) and sigma = 26.0 kg/m(3) than a 2 degrees state estimate. This result implies that the inability to accurately simulate mesoscale phenomena and surface fluxes in climate models would lead to an accumulation of errors in water mass properties over 10 - 20 years, even in the interior of the subtropical gyre.</t>
  </si>
  <si>
    <t>MIT Woods Hole Oceanog Inst Joint Program Oceanog, Woods Hole, MA USA</t>
  </si>
  <si>
    <t>Massachusetts Institute of Technology (MIT)</t>
  </si>
  <si>
    <t>Gebbie, G (corresponding author), Harvard Univ, Dept Earth &amp; Planetary Sci, 24 Oxford St, Cambridge, MA 02138 USA.</t>
  </si>
  <si>
    <t>gebbie@eps.harvard.edu</t>
  </si>
  <si>
    <t>JUN 12</t>
  </si>
  <si>
    <t>C6</t>
  </si>
  <si>
    <t>C06007</t>
  </si>
  <si>
    <t>10.1029/2006JC003568</t>
  </si>
  <si>
    <t>180MX</t>
  </si>
  <si>
    <t>WOS:000247370000001</t>
  </si>
  <si>
    <t>Raupach, MR; Marland, G; Ciais, P; Le Quéré, C; Canadell, JG; Klepper, G; Field, CB</t>
  </si>
  <si>
    <t>Raupach, Michael R.; Marland, Gregg; Ciais, Philippe; Le Quere, Corinne; Canadell, Josep G.; Klepper, Gernot; Field, Christopher B.</t>
  </si>
  <si>
    <t>Global and regional drivers of accelerating CO2 emissions</t>
  </si>
  <si>
    <t>carbon intensity of economy; carbon intensity of energy; emissions scenarios; fossil fuels; Kaya identity</t>
  </si>
  <si>
    <t>ATMOSPHERIC CO2; CARBON-DIOXIDE; ENERGY</t>
  </si>
  <si>
    <t>CO2 emissions from fossil-fuel burning and industrial processes have been accelerating at a global scale, with their growth rate increasing from 1.1% y(-1) for 1990-1999 to &gt;3% y(-1) for 2000-2004. The emissions growth rate since 2000 was greater than for the most fossil-fuel intensive of the Intergovernmental Panel on Climate Change emissions scenarios developed in the late 1990s. Global emissions growth since 2000 was driven by a cessation or reversal of earlier declining trends in the energy intensity of gross domestic product (GDP) (energy/GDP) and the carbon intensity of energy (emissions/energy), coupled with continuing increases in population and per-capita GDP. Nearly constant or slightly increasing trends in the carbon intensity of energy have been recently observed in both developed and developing regions. No region is decarbonizing its energy supply. The growth rate in emissions is strongest in rapidly developing economies, particularly China. Together, the developing and least-developed economies (forming 80% of the world's population) accounted for 73% of global emissions growth in 2004 but only 41 % of global emissions and only 23% of global cumulative emissions since the mid-18th century. The results have implications for global equity.</t>
  </si>
  <si>
    <t>Commonwealth Sci &amp; Ind Res Org, Global Carbon Project, Canberra, ACT 2601, Australia; Oak Ridge Natl Lab, Carbon Dioxide Informat Anal Ctr, Oak Ridge, TN 37831 USA; CEA, Lab Sci Climat &amp; Environm, F-91191 Gif Sur Yvette, France; Univ E Anglia, Sch Environm Sci, Norwich NR4 7TJ, Norfolk, England; British Antarctic Survey, Cambridge CB3 0ET, England; Kiel Inst World Econ, D-24105 Kiel, Germany; Carnegie Inst Sci, Dept Global Ecol, Stanford, CA 94305 USA</t>
  </si>
  <si>
    <t>Commonwealth Scientific &amp; Industrial Research Organisation (CSIRO); United States Department of Energy (DOE); Oak Ridge National Laboratory; Universite Paris Saclay; CEA; Centre National de la Recherche Scientifique (CNRS); University of East Anglia; UK Research &amp; Innovation (UKRI); Natural Environment Research Council (NERC); NERC British Antarctic Survey; Institut fur Weltwirtschaft an der Universitat Kiel (IFW); Carnegie Institution for Science</t>
  </si>
  <si>
    <t>Raupach, MR (corresponding author), Commonwealth Sci &amp; Ind Res Org, Global Carbon Project, Canberra, ACT 2601, Australia.</t>
  </si>
  <si>
    <t>michael.raupach@csiro.au</t>
  </si>
  <si>
    <t>Canadell, Pep/E-9419-2010; Le Quéré, Corinne/C-2631-2017; Ciais, Philippe/A-6840-2011</t>
  </si>
  <si>
    <t>Canadell, Pep/0000-0002-8788-3218; Le Quéré, Corinne/0000-0003-2319-0452; Ciais, Philippe/0000-0001-8560-4943</t>
  </si>
  <si>
    <t>NERC [bas010013] Funding Source: UKRI; Natural Environment Research Council [bas010013] Funding Source: researchfish</t>
  </si>
  <si>
    <t>10.1073/pnas.0700609104</t>
  </si>
  <si>
    <t>180KW</t>
  </si>
  <si>
    <t>WOS:000247363000066</t>
  </si>
  <si>
    <t>Mishra, AP; Rai, S; Pandey, AC</t>
  </si>
  <si>
    <t>Mishra, Anshu Prakash; Rai, S.; Pandey, A. C.</t>
  </si>
  <si>
    <t>Validation of model-simulated sea surface current and sea surface temperature with observations in the Southern Indian Ocean</t>
  </si>
  <si>
    <t>antarctic circurnpolar current; sea surface current; sea surface temperature; south equatorial current; Southern Indian Ocean</t>
  </si>
  <si>
    <t>OBJECTIVE ANALYSIS; ATLANTIC-OCEAN; WIND; ENSO</t>
  </si>
  <si>
    <t>A 25-layer Ocean General Circulation Model has been used to investigate and analyse the model-simulated sea surface current (SSC) and sea surface temperature (SST) fields from a 26-year model simulation covering the Southern Indian Ocean region (50 degrees S-10 degrees N and 30-120 degrees E). In general, simulated time-mean SSC and SST fields are found to agree well with the corresponding observed datasets in most parts of the model domain. All major currents such as Antarctic Circumpolar Current, Equatorial Counter Current, South Equatorial Current, North Equatorial Current and Agulhas Current are preserved in the model, as verified by the observation. However, slight variation in current intensity is reflected on monthly scale. Similarly, the pattern of time-mean monthly SST field is found to agree with Levitus climatology. However, disparities do exist as evidenced by the SST bias calculation in some parts of the model domain. The vertical profile of temperature from the model simulation is found to agree well with the Levitus climatology. We conclude that the model is able to reproduce well, the observed structure in the ocean.</t>
  </si>
  <si>
    <t>Uppper Brahmaputra Div, Cent Water Commiss, Dibrugarh 786003, Assam, India; Univ Allahabad, Fac Sci, Nehru Sci Ctr, K Banerjee Ctr Atmospher &amp; Ocean Studies, Allahabad 211002, Uttar Pradesh, India; Univ Allahabad, Dept Phys, Allahabad 211002, Uttar Pradesh, India</t>
  </si>
  <si>
    <t>University of Allahabad; University of Allahabad</t>
  </si>
  <si>
    <t>Mishra, AP (corresponding author), Uppper Brahmaputra Div, Cent Water Commiss, JP Nagar,POCR Bldg, Dibrugarh 786003, Assam, India.</t>
  </si>
  <si>
    <t>anshu_786@rediffmail.com</t>
  </si>
  <si>
    <t>Pandey, Ashok/JBR-8714-2023; Rai, Shailendra/E-7227-2010; Pandey, Ashok/AAC-6340-2019; PANDEY, AVINASH CHANDRA/B-4600-2014</t>
  </si>
  <si>
    <t>Pandey, Ashok/0000-0003-1626-3529; Pandey, Ashok/0000-0003-1626-3529; Rai, Shailendra/0000-0003-0293-5478; PANDEY, AVINASH CHANDRA/0000-0003-0700-3856</t>
  </si>
  <si>
    <t>JUN 10</t>
  </si>
  <si>
    <t>210WV</t>
  </si>
  <si>
    <t>WOS:000249487200029</t>
  </si>
  <si>
    <t>Shprits, YY; Meredith, NP; Thorne, RM</t>
  </si>
  <si>
    <t>Shprits, Yuri Y.; Meredith, Nigel P.; Thorne, Richard M.</t>
  </si>
  <si>
    <t>Parameterization of radiation belt electron loss timescales due to interactions with chorus waves</t>
  </si>
  <si>
    <t>LINEAR DIFFUSION-COEFFICIENTS; RELATIVISTIC ELECTRONS; GEOMAGNETIC STORMS; CRRES OBSERVATIONS; LOSS RATES; ACCELERATION; ENERGIES; DRIVEN; PLASMA; FIELD</t>
  </si>
  <si>
    <t>Wave-particle interactions lead to the loss of relativistic electrons from the outer radiation belt on timescales ranging from hours to weeks. For a fixed value of chorus wave amplitudes pitch-angle diffusion coefficients are computed for a range of energies and L, and are related to the loss rates of radiation belt electrons. By analyzing the dependence of the loss rates on L-value and energy we find functional dependencies for the lifetime of the radiation belt electrons. Parameters of the functional dependences are obtained using a linear regression technique. To create parameterizations of loss rate as a function of geomagnetic indices, we also analyzed the statistical data from day-side lower band chorus observations in the range of geomagnetic latitudes from 20 degrees to 30 degrees. The combined parameterizations of the wave amplitudes and scattering rates indicate that electron loss due to chorus waves strongly depends on energy and geomagnetic activity. During storm-time conditions the lifetimes of relativistic electrons, in the heart of the outer zone are on the order of a day and are on the scale of hours at lower energies. Pitch-angle scattering by chorus waves thus plays an important role in radiation belt dynamics. The developed parameterizations may be used in particle tracing codes and radial diffusion codes. The limitations of the parameterization, effect of scattering by other waves, and local acceleration processes are also discussed.</t>
  </si>
  <si>
    <t>Univ Calif Los Angeles, Dept Atmospher &amp; Ocean Sci, Los Angeles, CA 90095 USA; British Antarctic Survey, Div Phys Sci, Cambridge CB3 0ET, England</t>
  </si>
  <si>
    <t>Shprits, YY (corresponding author), Univ Calif Los Angeles, Dept Atmospher &amp; Ocean Sci, 405 Hilgard Ave, Los Angeles, CA 90095 USA.</t>
  </si>
  <si>
    <t>yshprits@atmos.ucla.edu</t>
  </si>
  <si>
    <t>Shprits, Yuri Y/I-2174-2014; Meredith, Nigel P/C-5806-2018</t>
  </si>
  <si>
    <t>Meredith, Nigel/0000-0001-5032-3463; Horne, Richard/0000-0002-0412-6407; Shprits, Yuri/0000-0002-9625-0834</t>
  </si>
  <si>
    <t>JUN 9</t>
  </si>
  <si>
    <t>L11110</t>
  </si>
  <si>
    <t>10.1029/2006GL029050</t>
  </si>
  <si>
    <t>177FZ</t>
  </si>
  <si>
    <t>WOS:000247140300001</t>
  </si>
  <si>
    <t>Courville, ZR; Albert, MR; Fahnestock, MA; Cathles, LM; Shuman, CA</t>
  </si>
  <si>
    <t>Courville, Z. R.; Albert, M. R.; Fahnestock, M. A.; Cathles, L. M.; Shuman, C. A.</t>
  </si>
  <si>
    <t>Impacts of an accumulation hiatus on the physical properties of firn at a low-accumulation polar site</t>
  </si>
  <si>
    <t>EAST ANTARCTIC PLATEAU; SNOW ACCUMULATION; TEMPORAL VARIABILITY; ICE-SHEET; GREENLAND; SURFACE; METAMORPHISM; PARAMETERS; VICINITY; STATION</t>
  </si>
  <si>
    <t>Recent field investigations of a megadune region of East Antarctica provide evidence that differences in grain size, thermal conductivity, and permeability across a megadune profile are due to spatial accumulation variability in the absence of significant microclimate variations. The megadunes are low-amplitude (2-8 m), long-wavelength (2-5 km) bands with perceptible but low accumulation ( less than 40 mm water equivalent (weq) yr(-1)) and accumulation hiatus within several kilometers proximity, as determined by remote sensing, surface feature classification, and ground-penetrating radar profiling. Our hypothesis that accumulation rate impacts the extent of temperature gradient-driven metamorphic growth in low accumulation rate sites is supported by measurements of various firn physical properties. Relatively small differences in accumulation rate (less than 40 mm weq yr(-1)) result in large differences in physical properties, including grain size, thermal conductivity, and permeability, which are apparent in satellite-based microwave data from both passive and active sensors. The differences in physical snow structure between low-accumulation areas and accumulation hiatus areas in the near surface are sufficiently distinct that evidence of past accumulation hiatus should be observable in the physical and chemical properties of an ice core record.</t>
  </si>
  <si>
    <t>USA, Cold Reg Res &amp; Engn Lab, Cyrospher &amp; Terr Sci Div, Hanover, NH 03755 USA; Univ Chicago, Dept Geophys Sci, Chicago, IL 60637 USA; Univ New Hampshire, Inst Study Earth Oceans &amp; Space, Durham, NH 03824 USA; NASA, Goddard Space Flight Ctr, Cryospher Sci Branch, Greenbelt, MD 20771 USA; Dartmouth Coll, Thayer Sch Engn, Hanover, NH 03755 USA</t>
  </si>
  <si>
    <t>United States Department of Defense; United States Army; U.S. Army Corps of Engineers; U.S. Army Engineer Research &amp; Development Center (ERDC); Cold Regions Research &amp; Engineering Laboratory (CRREL); University of Chicago; University System Of New Hampshire; University of New Hampshire; National Aeronautics &amp; Space Administration (NASA); NASA Goddard Space Flight Center; Dartmouth College</t>
  </si>
  <si>
    <t>Courville, ZR (corresponding author), USA, Cold Reg Res &amp; Engn Lab, Cyrospher &amp; Terr Sci Div, 72 Lyme Rd, Hanover, NH 03755 USA.</t>
  </si>
  <si>
    <t>zoe.courville@dartmouth.edu</t>
  </si>
  <si>
    <t>Fahnestock, Mark A/N-2678-2013</t>
  </si>
  <si>
    <t>Courville, Zoe/0000-0002-5968-6620; Albert, Mary/0000-0001-7842-2359</t>
  </si>
  <si>
    <t>JUN 8</t>
  </si>
  <si>
    <t>F02030</t>
  </si>
  <si>
    <t>10.1029/2005JF000429</t>
  </si>
  <si>
    <t>177GO</t>
  </si>
  <si>
    <t>WOS:000247141800001</t>
  </si>
  <si>
    <t>Keeling, RF</t>
  </si>
  <si>
    <t>Keeling, Ralph F.</t>
  </si>
  <si>
    <t>Deglaciation mysteries</t>
  </si>
  <si>
    <t>ANTARCTIC SEA-ICE; CO2</t>
  </si>
  <si>
    <t>Keeling, RF (corresponding author), Univ Calif San Diego, Scripps Inst Oceanog, La Jolla, CA 92093 USA.</t>
  </si>
  <si>
    <t>rkeeling@ucsd.edu</t>
  </si>
  <si>
    <t>10.1126/science.1142326</t>
  </si>
  <si>
    <t>176EE</t>
  </si>
  <si>
    <t>WOS:000247066400031</t>
  </si>
  <si>
    <t>Marchitto, TM; Lehman, SJ; Ortiz, JD; Flückiger, J; van Geen, A</t>
  </si>
  <si>
    <t>Marchitto, Thomas M.; Lehman, Scott J.; Ortiz, Joseph D.; Flueckiger, Jacqueline; van Geen, Alexander</t>
  </si>
  <si>
    <t>Marine radiocarbon evidence for the mechanism of deglacial atmospheric CO2 rise</t>
  </si>
  <si>
    <t>ANTARCTIC SEA-ICE; PAST 50,000 YEARS; LAST DEGLACIATION; NORTH-ATLANTIC; OCEAN CIRCULATION; SOUTHERN-OCEAN; PACIFIC-OCEAN; CARBON-CYCLE; CLIMATE; VARIABILITY</t>
  </si>
  <si>
    <t>We reconstructed the radiocarbon activity of intermediate waters in the eastern North Pacific over the past 38,000 years. Radiocarbon activity paralleled that of the atmosphere, except during deglaciation, when intermediate-water values fell by more than 300 per mil. Such a large decrease requires a deglacial injection of very old waters from a deep-ocean carbon reservoir that was previously well isolated from the atmosphere. The timing of intermediate-water radiocarbon depletion closely matches that of atmospheric carbon dioxide rise and effectively traces the redistribution of carbon from the deep ocean to the atmosphere during deglaciation.</t>
  </si>
  <si>
    <t>Univ Colorado, Dept Geol Sci, Boulder, CO 80309 USA; Univ Colorado, Inst Arctic &amp; Alpine Res, Boulder, CO 80309 USA; Kent State Univ, Dept Geol, Kent, OH 44242 USA; Columbia Univ, Lamont Doherty Earth Observ, Palisades, NY 10964 USA</t>
  </si>
  <si>
    <t>University of Colorado System; University of Colorado Boulder; University of Colorado System; University of Colorado Boulder; University System of Ohio; Kent State University; Kent State University Salem; Kent State University Kent; Columbia University</t>
  </si>
  <si>
    <t>Marchitto, TM (corresponding author), Univ Colorado, Dept Geol Sci, Boulder, CO 80309 USA.</t>
  </si>
  <si>
    <t>tom.marchitto@colorado.edu</t>
  </si>
  <si>
    <t>Fluckiger, Jacqueline/G-3457-2011; Ortiz, Joseph/E-1144-2011</t>
  </si>
  <si>
    <t>Ortiz, Joseph/0000-0002-6583-3850; MARCHITTO, THOMAS/0000-0003-2397-8768</t>
  </si>
  <si>
    <t>10.1126/science.1138679</t>
  </si>
  <si>
    <t>WOS:000247066400036</t>
  </si>
  <si>
    <t>Lu, H; Jarvis, MJ; Graf, HF; Young, PC; Horne, RB</t>
  </si>
  <si>
    <t>Lu, Hua; Jarvis, Martin J.; Graf, Hans-F.; Young, Peter C.; Horne, Richard B.</t>
  </si>
  <si>
    <t>Atmospheric temperature responses to solar irradiance and geomagnetic activity</t>
  </si>
  <si>
    <t>QUASI-BIENNIAL OSCILLATION; 11-YEAR SUNSPOT CYCLE; WINTER STRATOSPHERIC CIRCULATION; NORTH-ATLANTIC OSCILLATION; INTERANNUAL VARIABILITY; HEMISPHERE WINTER; GLOBAL SIGNAL; PART I; CLIMATE; QBO</t>
  </si>
  <si>
    <t>[1] The relative effects of solar irradiance and geomagnetic activity on the atmospheric temperature anomalies (T-a) are examined from the monthly to interdecadal timescales. Geomagnetic Ap (A(p)) signals are found primarily in the stratosphere, while the solar F10.7-cm radio flux (F-s) signals are found in both the stratosphere and troposphere. In the troposphere, 0.1 - 0.4 K increases in T-a are associated with F-s. Enhanced F-s signals are found when the stratospheric quasi-biennial oscillation (QBO) is westerly. In the extrapolar region of the stratosphere, 0.1 - 0.6 and 0.1 - 0.7 K increases in T-a are associated with solar irradiance and with geomagnetic activity, respectively. In this region, Fs signals are strengthened when either the QBO is easterly, or geomagnetic activity is high, while Ap signals are strengthened when either the QBO is westerly, or solar irradiance is high. High solar irradiance and geomagnetic activity tend to enhance each other's signatures either making the signals stronger and symmetric about the equator or extending the signals to broader areas, or both. Positive A(p) signals dominate the middle Arctic stratosphere and are two to five times larger than those of F-s. When solar irradiance is low, the signature of A(p) in T-a is asymmetric about the equator, with positive signals in the Arctic stratosphere and negative signals at midlatitudes of the NH stratosphere. Weaker stratospheric QBO signals are associated with high A(p) and F-s, suggesting possible disturbances on the QBO. The signals of A(p) and F-s are distinct from the positive temperature anomalies resulting from volcanic eruptions.</t>
  </si>
  <si>
    <t>British Antarctic Survey, Cambridge CB3 0ET, England; Univ Lancaster, Ctr Res Environm Syst &amp; Stat, Lancaster, England; Univ Cambridge, Ctr Atmospher Sci, Cambridge, England</t>
  </si>
  <si>
    <t>UK Research &amp; Innovation (UKRI); Natural Environment Research Council (NERC); NERC British Antarctic Survey; Lancaster University; University of Cambridge</t>
  </si>
  <si>
    <t>Lu, H (corresponding author), British Antarctic Survey, Madingley Rd, Cambridge CB3 0ET, England.</t>
  </si>
  <si>
    <t>hlu@bas.ac.uk</t>
  </si>
  <si>
    <t>Lu, Hua/GXA-0276-2022; Horne, Richard B/U-3764-2019; Graf, Hans/GQQ-2206-2022</t>
  </si>
  <si>
    <t>Lu, Hua/0000-0001-9485-5082; Horne, Richard B/0000-0002-0412-6407;</t>
  </si>
  <si>
    <t>JUN 7</t>
  </si>
  <si>
    <t>D11</t>
  </si>
  <si>
    <t>D11109</t>
  </si>
  <si>
    <t>10.1029/2006JD007864</t>
  </si>
  <si>
    <t>177GF</t>
  </si>
  <si>
    <t>WOS:000247140900005</t>
  </si>
  <si>
    <t>Pritchard, HD; Vaughan, DG</t>
  </si>
  <si>
    <t>Pritchard, H. D.; Vaughan, D. G.</t>
  </si>
  <si>
    <t>Widespread acceleration of tidewater glaciers on the Antarctic Peninsula</t>
  </si>
  <si>
    <t>GREENLAND ICE-SHEET; SEA-LEVEL RISE; EAST GREENLAND; MASS-BALANCE; JAKOBSHAVN ISBRAE; CLIMATE-CHANGE; SHELF; COLLAPSE; TEMPERATURE; DYNAMICS</t>
  </si>
  <si>
    <t>Over the last half century, the Antarctic Peninsula (AP) has been among the most rapidly warming regions on Earth. This has led to increased summer snowmelt, loss of ice shelves, and retreat of 87% of marine and tidewater glacier fronts. Tidewater-glacier flow is sensitive to changes in basal water supply and to thinning of the terminus, and faster flow leads directly to sea level rise. The flow rates of most AP tidewater glaciers have never been measured, however, and hence their dynamic response to the recent changes is unknown. We present repeated flow rate measurements from over 300 glaciers on the AP west coast through nine summers from 1992 to 2005. We show that the flow rate increased by similar to 12% on average and that this trend is greater than the seasonal variability in flow rate. We attribute this widespread acceleration trend not to meltwater-enhanced lubrication or increased snowfall but to a dynamic response to frontal thinning. We estimate that as a result, the annual sea level contribution from this region has increased by 0.047 +/- 0.011 mm between 1993 and 2003. This contribution, together with previous studies that assessed increased runoff from the area and acceleration of glaciers resulting from the removal of ice shelves, implies a combined AP contribution of 0.16 +/- 0.06 mm yr(-1). This is comparable to the contribution from Alaskan glaciers, and combined with estimated mass loss from West Antarctica, is probably large enough to outweigh mass gains in East Antarctica and to make the total Antarctic sea level contribution positive.</t>
  </si>
  <si>
    <t>British Antarctic Survey, NERC, Cambridge CB3 0ET, England</t>
  </si>
  <si>
    <t>Pritchard, HD (corresponding author), British Antarctic Survey, NERC, Madingley Rd, Cambridge CB3 0ET, England.</t>
  </si>
  <si>
    <t>d.g.vaughan@bas.ac.uk</t>
  </si>
  <si>
    <t>Pritchard, Hamish Daniel/AAU-4696-2021; Vaughan, David/C-8348-2011</t>
  </si>
  <si>
    <t>NERC [bas010018] Funding Source: UKRI; Natural Environment Research Council [bas010018] Funding Source: researchfish</t>
  </si>
  <si>
    <t>JUN 6</t>
  </si>
  <si>
    <t>F03S29</t>
  </si>
  <si>
    <t>10.1029/2006JF000597</t>
  </si>
  <si>
    <t>177GP</t>
  </si>
  <si>
    <t>WOS:000247141900001</t>
  </si>
  <si>
    <t>Huck, PE; Tilmes, S; Bodeker, GE; Randel, WJ; McDonald, AJ; Nakajima, H</t>
  </si>
  <si>
    <t>Huck, P. E.; Tilmes, S.; Bodeker, G. E.; Randel, W. J.; McDonald, A. J.; Nakajima, H.</t>
  </si>
  <si>
    <t>An improved measure of ozone depletion in the Antarctic stratosphere</t>
  </si>
  <si>
    <t>POLAR VORTEX; PLANETARY-WAVES; WINTER; HOLE</t>
  </si>
  <si>
    <t>[1] Ozone mass deficit is a commonly used index to quantify Antarctic ozone depletion. However, as currently defined, this measure is not robust with respect to reflecting chemical ozone loss within the Antarctic vortex. Therefore, in this study, a new definition of ozone mass deficit (OMD) is developed. The 220 Dobson Unit based value currently used as the threshold for ozone depletion has been replaced with a new ozone background representative of pre-ozone-hole conditions. Second, the new OMD measure is based on ozone measurements within the dynamical vortex. A simpler method is also proposed whereby calculation of the vortex edge is avoided by using the average latitude of the vortex edge (62 degrees S) as the spatial limiting contour. An indication of the errors in OMD introduced when using this simpler approach is provided. By comparing vortex average total ozone loss (defined using the new background and limiting contour) with partial column accumulated chemical ozone loss calculated with the tracer-tracer correlation method for 1992-2004 and in more detail for 1996 and 2003, it is shown that the new OMD measure is representative of chemical ozone loss within the vortex. In addition the new criteria have been applied to the calculation of ozone hole area. The sensitivity of the new measures to uncertainties in the background have been quantified. The new ozone loss measures underestimate chemical ozone loss in highly dynamically disturbed years (2002 and 2004), and criteria for identifying these years are presented. The new measures should aid chemistry-climate model intercomparisons since ozone biases in the models are avoided.</t>
  </si>
  <si>
    <t>Univ Canterbury, Dept Phys &amp; Astron, Christchurch 8020, New Zealand; Natl Inst Environm Studies, Tsukuba, Ibaraki 3058506, Japan; Natl Ctr Atmospher Res, Boulder, CO 80307 USA; Natl Inst Water &amp; Atmospher Res, Central Otago 9182, New Zealand</t>
  </si>
  <si>
    <t>University of Canterbury; National Institute for Environmental Studies - Japan; National Center Atmospheric Research (NCAR) - USA; National Institute of Water &amp; Atmospheric Research (NIWA) - New Zealand</t>
  </si>
  <si>
    <t>Huck, PE (corresponding author), Univ Canterbury, Dept Phys &amp; Astron, Private Bag 4800, Christchurch 8020, New Zealand.</t>
  </si>
  <si>
    <t>peh26@student.canterbury.ac.nz; tilmes@ucar.edu; g.bodeker@niwa.co.nz; randel@ucar.edu; adrian.mcdonald@canterbury.ac.nz; hide@nies.go.jp</t>
  </si>
  <si>
    <t>Bodeker, Greg E/A-8870-2008; Randel, William J/K-3267-2016; Tilmes, Simone/JUV-6618-2023; Nakajima, Hideaki/M-8845-2019</t>
  </si>
  <si>
    <t>Tilmes, Simone/0000-0002-6557-3569; Nakajima, Hideaki/0000-0002-2742-1230; Bodeker, Gregory/0000-0003-1094-5852; McDonald, Adrian/0000-0002-1456-6254</t>
  </si>
  <si>
    <t>JUN 5</t>
  </si>
  <si>
    <t>D11104</t>
  </si>
  <si>
    <t>10.1029/2006JD007860</t>
  </si>
  <si>
    <t>177GD</t>
  </si>
  <si>
    <t>WOS:000247140700003</t>
  </si>
  <si>
    <t>Schlüter, P; Uenzelmann-Neben, G</t>
  </si>
  <si>
    <t>Schlueter, Philip; Uenzelmann-Neben, Gabriele</t>
  </si>
  <si>
    <t>Seismostratigraphic analysis of the Transkei Basin:: A history of deep sea current controlled sedimentation</t>
  </si>
  <si>
    <t>contourite drifts; Transkei Basin; deep sea currents; seismostratigraphy; palaeoceanography; Agulhas drift</t>
  </si>
  <si>
    <t>ANTARCTIC BOTTOM WATER; NATAL VALLEY; CONTINENTAL-MARGIN; OCEAN CIRCULATION; SOUTHERN-OCEAN; INDIAN-OCEAN; ICE-SHEET; ATLANTIC; STRATIGRAPHY; GLACIATION</t>
  </si>
  <si>
    <t>The Earth's climate is controlled by various factors, with large scale ocean currents playing a significant role. In particular, the global thermohaline circulation of water masses like the Antarctic Bottom Water (AABW), or the North Atlantic Deep Water (NADW), is a global motor for maintaining the exchange of water masses. The AABW and NADW have met and interacted off South Africa since Oligocene times. Here, the narrow deep Agulhas Passage gateway, located between South Africa and the submarine Agulhas Plateau, constrains bottom water exchange between the southeast Atlantic and the southwest Indian Ocean. A seismostratigraphic analysis of sedimentary structures in the Transkei Basin, which opens up at the eastern end of the Agulhas Passage, was carried out, to reconstruct the palaeocurrents off South Africa. The analysis of newly collected high resolution seismic reflection data showed the effect of large scale current deposition. There are at least 5 major sedimentary phases to observe, some of which seem to be influenced by NADW and AABW The first stage represents ongoing deep sea sedimentation from middle Cretaceous to middle Tertiary times. Later stages are separated by discordances, which represent the onset of AABW and NADW, among others, triggered by the opening of the Drake Passage gateway (similar to 35 Ma) and the closure of the Isthmus of Panama (similar to 3 Ma). We found two large drift bodies located one above the other. Corresponding to their shape and position, the older drift is inferred to have been deposited by currents flowing in a north-southerly direction, whereas the younger drift lies perpendicular to it and seems to be built up by west-east flowing currents. (c) 2007 Elsevier B.V. All rights reserved.</t>
  </si>
  <si>
    <t>Alfred Wegener Inst Polar &amp; Marine Res, Bremerhaven, Germany</t>
  </si>
  <si>
    <t>Schlüter, P (corresponding author), Alfred Wegener Inst Polar &amp; Marine Res, Bremerhaven, Germany.</t>
  </si>
  <si>
    <t>philip.schlueter@awi.de</t>
  </si>
  <si>
    <t>Uenzelmann-Neben, Gabriele/AAI-8618-2020</t>
  </si>
  <si>
    <t>Uenzelmann-Neben, Gabriele/0000-0002-0115-5923</t>
  </si>
  <si>
    <t>1-4</t>
  </si>
  <si>
    <t>10.1016/j.margeo.2007.02.015</t>
  </si>
  <si>
    <t>178PS</t>
  </si>
  <si>
    <t>WOS:000247233200007</t>
  </si>
  <si>
    <t>Thorne, RM; Shprits, YY; Meredith, NP; Horne, RB; Li, W; Lyons, LR</t>
  </si>
  <si>
    <t>Thorne, R. M.; Shprits, Y. Y.; Meredith, N. P.; Horne, R. B.; Li, W.; Lyons, L. R.</t>
  </si>
  <si>
    <t>Refilling of the slot region between the inner and outer electron radiation belts during geomagnetic storms</t>
  </si>
  <si>
    <t>WHISTLER-MODE CHORUS; ION-CYCLOTRON WAVES; PITCH-ANGLE; RELATIVISTIC ELECTRONS; ZONE ELECTRONS; DIFFUSION-COEFFICIENTS; RESONANT DIFFUSION; CRRES OBSERVATIONS; SCATTERING LOSS; MAGNETIC STORM</t>
  </si>
  <si>
    <t>Energetic electrons (&gt;= 50 keV) are injected into the slot region (2&lt;4) between the inner and outer radiation belts during the early recovery phase of geomagnetic storms. Enhanced convection from the plasma sheet can account for the storm-time injection at lower energies but does not explain the rapid appearance of higher-energy electrons (&gt;= 150 keV). The effectiveness of either radial diffusion (driven by enhanced ULF waves) or local acceleration ( during interactions with enhanced whistler mode chorus emissions), as a potential source for refilling the slot at higher energies, is analyzed for observed conditions during the early recovery phase of the 10 October 1990 storm. We demonstrate that local acceleration, driven by observed chorus emissions, can account for the rapid enhancement in 200-700 keV electrons in the outer slot region near L=3.3. Radial diffusion is much less effective but may partially contribute to the flux enhancement at lower L. Subsequent outward expansion of the plasmapause during the storm recovery phase effectively terminates local wave acceleration in the slot and prevents acceleration to energies higher than similar to 700 keV. A statistical analysis of energetic electron flux enhancements and wave and plasma properties over the entire CRRES mission supports the concept of local wave acceleration as a dominant process for refilling the slot during the main and early recovery phase of storms. For moderate storms, the injection process naturally becomes less effective at energies &gt;= 1 MeV, due to the longer wave acceleration times and additional precipitation loss from scattering by electromagnetic ion cyclotron waves. However, during extreme events when the plasmapause remains compressed for several days, conditions may occur to allow wave acceleration to multi-MeV energies at locations normally associated with the slot.</t>
  </si>
  <si>
    <t>Thorne, RM (corresponding author), Univ Calif Los Angeles, Dept Atmospher &amp; Ocean Sci, 405 Hilgard Ave, Los Angeles, CA 90095 USA.</t>
  </si>
  <si>
    <t>rmt@atmos.ucla.edu; yshprits@atmos.ucla.edu; nmer@bas.ac.uk; r.horne@bas.ac.uk; moonli@atmos.ucla.edu; larry@atmos.ucla.edu</t>
  </si>
  <si>
    <t>Meredith, Nigel P/C-5806-2018; Li, Wen/F-3722-2011; Shprits, Yuri Y/I-2174-2014; Horne, Richard B/U-3764-2019</t>
  </si>
  <si>
    <t>Horne, Richard B/0000-0002-0412-6407; Shprits, Yuri/0000-0002-9625-0834; Meredith, Nigel/0000-0001-5032-3463</t>
  </si>
  <si>
    <t>JUN 2</t>
  </si>
  <si>
    <t>A6</t>
  </si>
  <si>
    <t>A06203</t>
  </si>
  <si>
    <t>10.1029/2006JA012176</t>
  </si>
  <si>
    <t>174OP</t>
  </si>
  <si>
    <t>WOS:000246952000008</t>
  </si>
  <si>
    <t>Bowgen, AD; Fraser, KPP; Peck, LS; Clarke, A</t>
  </si>
  <si>
    <t>Bowgen, Andrew D.; Fraser, Keiron P. P.; Peck, Lloyd S.; Clarke, Andrew</t>
  </si>
  <si>
    <t>Energetic cost of synthesizing proteins in Antarctic limpet, Nacella concinna (Strebel, 1908), is not temperature dependent</t>
  </si>
  <si>
    <t>AMERICAN JOURNAL OF PHYSIOLOGY-REGULATORY INTEGRATIVE AND COMPARATIVE PHYSIOLOGY</t>
  </si>
  <si>
    <t>protein metabolism; cycloheximide; polar; growth</t>
  </si>
  <si>
    <t>OXYGEN-CONSUMPTION; CONSUMING PROCESSES; DIETARY-PROTEIN; TURNOVER; GROWTH; TETRAHYMENA; METABOLISM; RATES</t>
  </si>
  <si>
    <t>The energetic cost of protein synthesis is thought to account for a significant proportion of total metabolism. However, attempts to estimate the energetic cost of synthesizing proteins have resulted in surprisingly variable results, particularly for the small number of polar organisms studied, where cost estimates vary by two orders of magnitude. Much of this variability is probably the result of differing methodologies and experimental designs. Here we have used two different, carefully validated methods to measure the costs of protein synthesis in Antarctic limpets. One method, which utilized a specific protein synthesis inhibitor, was used to measure the cost of protein synthesis at two temperatures to test the hypothesis that the cost of protein synthesis varies with temperature. The cost of protein synthesis measured using the inhibitor cycloheximide was 13.95 +/- 0.77 mu mol O-2/Mg protein, while correlation of absolute protein synthesis with oxygen consumption suggested the cost of protein synthesis was 19.58 mu mol O-2/149 protein. Water temperature did not alter the cost of protein synthesis in Nacella concinna (Student's t-test, P = 0.849, t = 0.19, df = 12). In a meta-analysis of literature values for the cost of protein synthesis there was no significant effect of temperature, but there was a significant relationship between the concentration of cycloheximide used to inhibit protein synthesis and the measured cost.</t>
  </si>
  <si>
    <t>British Antarctic Survey, Div Biol Sci, Nat Environm Res Council, Cambridge CB3 0ET, England</t>
  </si>
  <si>
    <t>Fraser, KPP (corresponding author), British Antarctic Survey, Div Biol Sci, Nat Environm Res Council, High Cross,Madingley Rd, Cambridge CB3 0ET, England.</t>
  </si>
  <si>
    <t>Natural Environment Research Council [bas010015] Funding Source: researchfish; NERC [bas010015] Funding Source: UKRI</t>
  </si>
  <si>
    <t>AMER PHYSIOLOGICAL SOC</t>
  </si>
  <si>
    <t>BETHESDA</t>
  </si>
  <si>
    <t>9650 ROCKVILLE PIKE, BETHESDA, MD 20814 USA</t>
  </si>
  <si>
    <t>0363-6119</t>
  </si>
  <si>
    <t>1522-1490</t>
  </si>
  <si>
    <t>AM J PHYSIOL-REG I</t>
  </si>
  <si>
    <t>Am. J. Physiol.-Regul. Integr. Comp. Physiol.</t>
  </si>
  <si>
    <t>JUN</t>
  </si>
  <si>
    <t>R2266</t>
  </si>
  <si>
    <t>R2274</t>
  </si>
  <si>
    <t>10.1152/ajpregu.00350.2006</t>
  </si>
  <si>
    <t>Physiology</t>
  </si>
  <si>
    <t>185QK</t>
  </si>
  <si>
    <t>WOS:000247725300022</t>
  </si>
  <si>
    <t>Walton, DWH</t>
  </si>
  <si>
    <t>Walton, David W. H.</t>
  </si>
  <si>
    <t>Assessing Antarctic Science</t>
  </si>
  <si>
    <t>ANTARCTIC SCIENCE</t>
  </si>
  <si>
    <t>Walton, David/0000-0002-7103-4043</t>
  </si>
  <si>
    <t>0954-1020</t>
  </si>
  <si>
    <t>ANTARCT SCI</t>
  </si>
  <si>
    <t>Antarct. Sci.</t>
  </si>
  <si>
    <t>10.1017/S0954102007000375</t>
  </si>
  <si>
    <t>Environmental Sciences; Geography, Physical; Geosciences, Multidisciplinary</t>
  </si>
  <si>
    <t>Environmental Sciences &amp; Ecology; Physical Geography; Geology</t>
  </si>
  <si>
    <t>178BT</t>
  </si>
  <si>
    <t>WOS:000247196900001</t>
  </si>
  <si>
    <t>Fanta, E</t>
  </si>
  <si>
    <t>Fanta, Edith</t>
  </si>
  <si>
    <t>Special issue - The 9th SCAR biology symposium - Evolution and biodiversity in Antarctica</t>
  </si>
  <si>
    <t>10.1017/S0954102007000387</t>
  </si>
  <si>
    <t>WOS:000247196900002</t>
  </si>
  <si>
    <t>Cameron, MF; Siniff, DB; Proffitt, KM; Garrott, RA</t>
  </si>
  <si>
    <t>Cameron, Michael F.; Siniff, Donald B.; Proffitt, Kelly M.; Garrott, Robert A.</t>
  </si>
  <si>
    <t>Site fidelity of Weddell seals: the effects of sex and age</t>
  </si>
  <si>
    <t>9th Scar International Biology Symposium</t>
  </si>
  <si>
    <t>JUL 25-29, 2005</t>
  </si>
  <si>
    <t>Curitiba, BRAZIL</t>
  </si>
  <si>
    <t>inbreeding; Leptonychotes weddellii; McMurdo Sound; natal site; philopatry; polygynous</t>
  </si>
  <si>
    <t>MCMURDO-SOUND; LEPTONYCHOTES-WEDDELLII; POPULATION-DYNAMICS; FUR SEALS; PHILOPATRY; CONSEQUENCES; DISPERSAL; SURVIVAL</t>
  </si>
  <si>
    <t>Site fidelity is believed to be an important life history strategy for Weddell seals (Leptonychotes weddellii), that return to traditional breeding colonies each spring. We examined four hypotheses concerning their fidelity to these colonies: 1) fidelity is stronger to natal sites (natal fidelity) than to other sites, 2) females exhibit greater site fidelity than males, 3) site fidelity for both sexes increases with age, 4) site fidelity in adult females is related to their reproductive status and their total number of offspring. Analysis of a long-term tagging database from McMurdo Sound did not support hypotheses 1 and 2. Although animals did express fidelity to specific sites over their lifetime (chi(2) tests, P &lt; 0.05), fidelity to natal colonies was lower than to other sites (chi(2) test, P &lt; 0.05). There were no differences in site fidelity between males and females (chi(2) tests, P &gt; 0.05). Hypothesis 3 was supported. Since the probability of a returning seal occupying the same colony as the previous year increased with age among both sexes to about age 12. Finally, in support of hypothesis 4, females with a higher degree of site fidelity were more likely to both have a higher reproductive rate and return to a site where they have previously given birth.</t>
  </si>
  <si>
    <t>NOAA, Natl Marine Fisheries Serv, Natl Marine Mammal Lab, Seattle, WA 98115 USA; Univ Minnesota, Dept Ecol Evolut &amp; Behav, St Paul, MN 55108 USA; Montana State Univ, Dept Ecol, Bozeman, MT 59717 USA</t>
  </si>
  <si>
    <t>National Oceanic Atmospheric Admin (NOAA) - USA; University of Minnesota System; University of Minnesota Twin Cities; Montana State University System; Montana State University Bozeman</t>
  </si>
  <si>
    <t>Cameron, MF (corresponding author), NOAA, Natl Marine Fisheries Serv, Natl Marine Mammal Lab, 7600 Sand Point Way NE, Seattle, WA 98115 USA.</t>
  </si>
  <si>
    <t>Michael.Cameron@noaa.gov</t>
  </si>
  <si>
    <t>1365-2079</t>
  </si>
  <si>
    <t>10.1017/S0954102007000223</t>
  </si>
  <si>
    <t>WOS:000247196900003</t>
  </si>
  <si>
    <t>Gibson, JAE; Bayly, IAE</t>
  </si>
  <si>
    <t>Gibson, John A. E.; Bayly, Ian A. E.</t>
  </si>
  <si>
    <t>New insights into the origins of crustaceans of Antarctic lakes</t>
  </si>
  <si>
    <t>biogeography; Boeckella poppei; Daphniopsis studeri; glacial refuge; Gladioferens antarcticus; palaeolimnology</t>
  </si>
  <si>
    <t>LAST GLACIAL MAXIMUM; EAST ANTARCTICA; LARSEMANN HILLS; VESTFOLD-HILLS; BUNGER HILLS; PARALABIDOCERA-ANTARCTICA; ENVIRONMENTAL-CHANGE; DAPHNIOPSIS-STUDERI; AMERY OASIS; SALINE LAKE</t>
  </si>
  <si>
    <t>New evidence regarding the origins of the Crustacea of Antarctic lakes is reviewed. Palaeolimnological data indicates that the cladoceran Daphniopsis studeri has been present in Lake Reid, Larsemann Hills, for over 120 000 yr. This is the first direct evidence of a continental lacustrine refugium during the last glacial maximum. There are strong indications that the calanoid copepod Boeckella poppei maintained populations over the same period in lakes of the Amery Oasis, and the rapid post-glacial colonization by this species of newly formed lakes on the Antarctic Peninsula and Signy Island argues for a local rather than an extra-continental source. Evidence for the entry of marine-derived species into the longer term fauna of the continent is also presented. It is concluded that many of the Crustacea in Antarctic lakes are likely to have had a long association with the continent.</t>
  </si>
  <si>
    <t>Univ Tasmania, Inst Antarctic &amp; So Ocean Studies, Hobart, Tas 7001, Australia; Univ Tasmania, Sch Zool, Hobart, Tas 7001, Australia; Monash Univ, Sch Biol Sci, Clayton, Vic 3800, Australia</t>
  </si>
  <si>
    <t>University of Tasmania; University of Tasmania; Monash University</t>
  </si>
  <si>
    <t>Gibson, JAE (corresponding author), Univ Tasmania, Inst Antarctic &amp; So Ocean Studies, Private Bag 77, Hobart, Tas 7001, Australia.</t>
  </si>
  <si>
    <t>John.Gibson@utas.edu.au</t>
  </si>
  <si>
    <t>10.1017/S0954102007000235</t>
  </si>
  <si>
    <t>Green Submitted, Green Accepted</t>
  </si>
  <si>
    <t>WOS:000247196900004</t>
  </si>
  <si>
    <t>Gutt, J</t>
  </si>
  <si>
    <t>Gutt, Julian</t>
  </si>
  <si>
    <t>Antarctic macro-zoobenthic communities: a review and an ecological classification</t>
  </si>
  <si>
    <t>deposit feeder; match; mismatch; near-bottom current; sediment; suspension feeder; trophic limitation</t>
  </si>
  <si>
    <t>WEDDELL SEA ANTARCTICA; TERRA-NOVA BAY; KING GEORGE ISLAND; ROSS ICE SHELF; SUBLITTORAL EPIFAUNAL COMMUNITIES; BRITTLE STARS ECHINODERMATA; SHALLOW BENTHIC COMMUNITIES; SOUTH SHETLAND ISLANDS; SOFT-BOTTOM BENTHOS; DEEP-SEA</t>
  </si>
  <si>
    <t>A partly new classification of shelf inhabiting Antarctic macro-zoobenthic communities is proposed in this review. The main components are two core communities. One is dominated by sessile suspension feeders supported by food entrained in strong near-bottom currents. Variants of this community include assemblages without sponges, those that prefer sponge spicule mats as substratum and predator-driven systems. The second core community is dominated by the infauna and mobile epifauna and controlled by vertical phytodetritus flux and soft sediments. This community is obviously restricted to areas with low current velocity, particularly in areas that are sheltered due to a heterogeneous coastal and sea floor topography. In addition, in physically controlled shallow water a small number of representatives of all these ecological guilds can become very abundant. Between both core communities a broad range of mixed assemblages exists that can be explained by a gradient in environmental conditions and trophic amensalism. A concept is also proposed for the ecological functioning of systems with extremely low abundances within ecological guilds, such as those that occur under and close to ice shelves, which cannot satisfactorily be explained by trophic limitation. These extremely low abundances may result from a shift during ontogenesis from a state with predominantly mismatched environmental conditions and ecological demands of young recruits, to a state where a match occurs.</t>
  </si>
  <si>
    <t>Alfred Wegener Inst Polar &amp; Marine Res, D-27568 Bremerhaven, Germany</t>
  </si>
  <si>
    <t>Gutt, J (corresponding author), Alfred Wegener Inst Polar &amp; Marine Res, Columbusstr, D-27568 Bremerhaven, Germany.</t>
  </si>
  <si>
    <t>jgutt@awi-bremerhaven.de</t>
  </si>
  <si>
    <t>Gutt, Julian/0000-0003-3773-9370</t>
  </si>
  <si>
    <t>10.1017/S0954102007000247</t>
  </si>
  <si>
    <t>WOS:000247196900005</t>
  </si>
  <si>
    <t>Hagen, W; Yoshida, T; Virtue, P; Kawaguchi, S; Swadling, KM; Nicol, S; Nichols, PD</t>
  </si>
  <si>
    <t>Hagen, Wilhelm; Yoshida, Toshihiro; Virtue, Patti; Kawaguchi, So; Swadling, Kerrie M.; Nicol, Stephen; Nichols, Peter D.</t>
  </si>
  <si>
    <t>Effect of a carnivorous diet on the lipids, fatty acids and condition of Antarctic krill, Euphausia superba</t>
  </si>
  <si>
    <t>copepods; polar lipid; polyunsaturated fatty acids; triacylglycerol; trophic interactions</t>
  </si>
  <si>
    <t>SOUTH GEORGIA; DIGESTIVE GLAND; COPEPOD INTERACTIONS; TROPHIC MARKERS; BIOMARKERS; BODY; DANA</t>
  </si>
  <si>
    <t>Krill are thought to be predominantly herbivorous, but a heterotrophic diet might be crucial for their growth and survival. To compare the influence of herbivory and carnivory on krill we conducted a nine month feeding trial. We examined lipid composition of the hepatopancreas, abdomen and remaining body portions of krill fed diatoms at bloom condition levels, and diatoms with the addition of pellets or minced clam meat to simulate a partly carnivorous diet. Mortality, dry mass and lipid content were similar among treatments. We examined lipid class and fatty acid profiles, with emphasis placed on the ratio of storage (triacylglycerol) to structural (polar lipid) lipid and key essential omega 3 polyunsaturated fatty acids: 20:5 omega 3 and 22:6 omega 3. The triacylglycerol : polar lipid ratio increased in krill fed on the mixed diet as did the 20:5 omega 3 : 22:6 omega 3 ratio. Overall these findings indicate that provision of clam in the diet improved krill condition, and further suggest that carnivory may aid krill growth in the wild under certain environmental conditions.</t>
  </si>
  <si>
    <t>Univ Bremen, D-28334 Bremen, Germany; Univ Tasmania, Inst Antarctic &amp; So Ocean Studies, Hobart, Tas 7001, Australia; Australian Antarctic Div, Kingston, Tas 7050, Australia; Univ Tasmania, TAFI, Hobart, Tas 7001, Australia; Univ Tasmania, ACE CRC, Hobart, Tas 7001, Australia; CSIRO, Div Marine &amp; Atmospher Res, Hobart, Tas 7001, Australia</t>
  </si>
  <si>
    <t>University of Bremen; University of Tasmania; Australian Antarctic Division; University of Tasmania; Antarctic Climate &amp; Ecosystems Cooperative Research Centre (ACE CRC); University of Tasmania; Commonwealth Scientific &amp; Industrial Research Organisation (CSIRO)</t>
  </si>
  <si>
    <t>Hagen, W (corresponding author), Univ Bremen, D-28334 Bremen, Germany.</t>
  </si>
  <si>
    <t>whagen@uni-bremen.de</t>
  </si>
  <si>
    <t>Nichols, Peter D/C-5128-2011; Kawaguchi, So/N-1795-2017</t>
  </si>
  <si>
    <t>Hagen, Wilhelm/0000-0002-7462-9931; Swadling, Kerrie/0000-0002-7620-841X; Virtue, Patti/0000-0002-9870-1256; Kawaguchi, So/0000-0002-2042-5095</t>
  </si>
  <si>
    <t>10.1017/S0954102007000259</t>
  </si>
  <si>
    <t>WOS:000247196900006</t>
  </si>
  <si>
    <t>Harris, J; Haward, M; Jabour, J; Woehler, EJ</t>
  </si>
  <si>
    <t>Harris, Jane; Haward, Marcus; Jabour, Julia; Woehler, Eric J.</t>
  </si>
  <si>
    <t>A new approach to selecting Marine Protected Areas (MPAs) in the Southern Ocean</t>
  </si>
  <si>
    <t>Antarctic; biodiversity; conservation; protected area system; seabirds</t>
  </si>
  <si>
    <t>SEABIRDS; SEA; BIODIVERSITY; CONSERVATION</t>
  </si>
  <si>
    <t>Conservation of the high seas marine environment poses a significant challenge to policy-makers and managers. Marine conservation efforts are often hindered by the lack of data and the difficulties in addressing multiple, and typically conflicting uses. The majority of extant Marine Protected Areas (MPAs) are in coastal or tropical regions within national jurisdiction. Conservation of high seas MPAs has emerged on the international agenda as a critical issue requiring the application of novel approaches, international cooperation and political will. Knowledge and understanding of the marine environment and data on marine biodiversity are all typically limited for the high seas, and the use of surrogates to assist in the identification of areas of high conservation value is one possible mechanism to address and potentially overcome these limitations. Drawing upon a database spanning more than 20 years and containing approximately 140 000 records of seabird sightings at sea, this study assesses the potential use of seabirds as surrogates for marine biodiversity in the Indian sector of the Southern Ocean. At-sea ranges, species diversity and the distributions of endangered species may be appropriate selectors or filters to identify areas with high conservation values. Integrating policy with science provides an appropriate mechanism to identify and prioritise MPAs in the Southern Ocean.</t>
  </si>
  <si>
    <t>Univ Tasmania, Inst Antarctic &amp; So Ocean Studies, Hobart, Tas 7001, Australia; Univ Tasmania, Antarctic Climate &amp; Ecosyst Cooperat Res Ctr, Hobart, Tas 7001, Australia; Univ Tasmania, Sch Govt, Hobart, Tas 7001, Australia; Australian Antarctic Div, Kingston, Tas 7050, Australia</t>
  </si>
  <si>
    <t>University of Tasmania; Antarctic Climate &amp; Ecosystems Cooperative Research Centre (ACE CRC); University of Tasmania; University of Tasmania; Australian Antarctic Division</t>
  </si>
  <si>
    <t>Harris, J (corresponding author), Univ Tasmania, Inst Antarctic &amp; So Ocean Studies, Private Bag 77, Hobart, Tas 7001, Australia.</t>
  </si>
  <si>
    <t>jwharris@utas.edu.au</t>
  </si>
  <si>
    <t>Jabour, Julia A/J-7882-2014; Haward, Marcus/G-3369-2014</t>
  </si>
  <si>
    <t>Woehler, Eric/0000-0002-1125-0748; Haward, Marcus/0000-0003-4775-0864</t>
  </si>
  <si>
    <t>10.1017/S0954102007000260</t>
  </si>
  <si>
    <t>WOS:000247196900007</t>
  </si>
  <si>
    <t>Hempel, G</t>
  </si>
  <si>
    <t>Hempel, Gotthilf</t>
  </si>
  <si>
    <t>Antarctic marine biology - two centuries of research</t>
  </si>
  <si>
    <t>BIOMASS; EASIZ; JGOFS; krill; SCAR; Southern Ocean</t>
  </si>
  <si>
    <t>Whilst interest in the economic exploitation of the Southern Ocean resources dates back to the last part of the 18th century scientific research into elements of the marine ecosystem only began in the mid 19th century. As far as plankton and benthos are concerned the great exploratory voyages and expeditions laid a firm taxonomic foundation on which later work was built. The most outstanding expedition contribution was from the Discovery Investigations. Concern about uncontrolled exploitation stimulated the SCAR BIOMASS programme which in turn led to CCAMLR with its modelling programmes and top predator monitoring. Recent research on pack ice communities has been aided by dedicated ice-capable research vessels whilst unmanned photographic techniques as well as SCUBA diving and experimental research facilities in the Antarctic have encouraged major research on benthos. International collaboration, interdisciplinary research and good ideas suggest Antarctic marine biology has a bright future.</t>
  </si>
  <si>
    <t>Inst Polar Ecol, D-24148 Kiel, Germany</t>
  </si>
  <si>
    <t>Hempel, G (corresponding author), Inst Polar Ecol, Wischhofstr 1-3,Geb 12, D-24148 Kiel, Germany.</t>
  </si>
  <si>
    <t>ghempel@ipoe.uni-kiel.de</t>
  </si>
  <si>
    <t>10.1017/S0954102007000272</t>
  </si>
  <si>
    <t>WOS:000247196900008</t>
  </si>
  <si>
    <t>Howard-Williams, C; Hawes, I</t>
  </si>
  <si>
    <t>Howard-Williams, Clive; Hawes, Ian</t>
  </si>
  <si>
    <t>Ecological processes in Antarctic inland waters: interactions between physical processes and the nitrogen cycle</t>
  </si>
  <si>
    <t>climate variability; cryoconites; ice habitats; lakes; ponds; streams</t>
  </si>
  <si>
    <t>MCMURDO DRY VALLEYS; PERMANENT ICE COVERS; LAKE VANDA; STREAM ECOSYSTEMS; SNOWBALL EARTH; TAYLOR VALLEY; CYANOBACTERIAL MATS; TRANSIENT STORAGE; MELTWATER STREAM; LARSEMANN HILLS</t>
  </si>
  <si>
    <t>In this review we consider the physical processes that shape inland aquatic ecosystems and how these affect ecosystem processes, with particular focus on the nitrogen cycle. Inland Antarctica is dominated by microbial communities that are usually concentrated in, or adjacent to, habitats with free water. The presence of free vs frozen water is dependent on very small changes in temperature around 0 degrees C, so significant variability in the distribution of free water can be expected in response to variations in climate over diel, decadal, to millennial time scales and a range of spatial scales. Antarctic inland waters take many forms: snow-surface melt pockets, cryoconites, basal regions of wet-based glaciers, ponds (varying in salinity and degree of desiccation), melt streams, perennially and seasonally ice covered lakes and even hypersaline, ice free lakes. The important processes and transformations that characterize the nitrogen cycle worldwide have all been identified in Antarctic inland waters and in some cases (e.g. N-uptake, N-fixation), rates are similar to those at lower latitudes. The unique features of Antarctic ecosystems stem from the extreme and variable physical conditions under which these processes operate rather than any unique ecosystem processes per se.</t>
  </si>
  <si>
    <t>Natl Inst Water &amp; Atmospher Res Ltd, Christchurch, New Zealand; World Fish Ctr, Gizo, Solomon Islands</t>
  </si>
  <si>
    <t>National Institute of Water &amp; Atmospheric Research (NIWA) - New Zealand</t>
  </si>
  <si>
    <t>Howard-Williams, C (corresponding author), Natl Inst Water &amp; Atmospher Res Ltd, Box 8602, Christchurch, New Zealand.</t>
  </si>
  <si>
    <t>c.howard-williams@niwa.co.nz</t>
  </si>
  <si>
    <t>Howard-Williams, Clive/0000-0002-8323-6806; Hawes, Ian/0000-0003-2471-6903</t>
  </si>
  <si>
    <t>10.1017/S0954102007000284</t>
  </si>
  <si>
    <t>WOS:000247196900009</t>
  </si>
  <si>
    <t>Kawaguchi, S; Nicol, S</t>
  </si>
  <si>
    <t>Kawaguchi, So; Nicol, Stephen</t>
  </si>
  <si>
    <t>Learning about Antarctic krill from the fishery</t>
  </si>
  <si>
    <t>CCAMLR; commercial fishery; Southern Ocean</t>
  </si>
  <si>
    <t>NATURAL GROWTH-RATES; EUPHAUSIA-SUPERBA; SEASONAL-VARIATION; MODELING GROWTH; ATLANTIC SECTOR; SEA-ICE; TRENDS; BEHAVIOR; RECRUITMENT; LENGTH</t>
  </si>
  <si>
    <t>Antarctic krill has been studied for many decades, but we are still long way from understanding their biology to be able to make reliable predictions about the reaction of their populations to environmental change. This is partly due to certain difficulties in relation to logistics, operations and survey design associated with scientific surveys that have been obstacles for us to better understand krill biology. The krill fishery is the largest fishery in the Southern Ocean, continuously operating since early 1970s. Recent studies revealed its potential to be used as a unique source for scientific discussions to understand krill biology. In this paper, after a brief overview of krill fishery operation and krill biology, we examine how current data collection through the fishery operation could contribute to a greater understanding of krill biology, and then suggest future priorities for fisheries-related research in relation to recent changes in the Southern Ocean environment.</t>
  </si>
  <si>
    <t>Kawaguchi, S (corresponding author), Australian Antarctic Div, Dept Environm &amp; Water Resources, 203 Channel Highway, Kingston, Tas 7050, Australia.</t>
  </si>
  <si>
    <t>So.Kawaguchi@aad.gov.au</t>
  </si>
  <si>
    <t>Kawaguchi, So/N-1795-2017</t>
  </si>
  <si>
    <t>Kawaguchi, So/0000-0002-2042-5095</t>
  </si>
  <si>
    <t>10.1017/S0954102007000296</t>
  </si>
  <si>
    <t>WOS:000247196900010</t>
  </si>
  <si>
    <t>Kock, KH</t>
  </si>
  <si>
    <t>Kock, Karl-Hermann</t>
  </si>
  <si>
    <t>Antarctic Marine Living Resources exploitation and its management in the Southern Ocean</t>
  </si>
  <si>
    <t>CCAMLR; finfish; IWC; krill; sealing; sustainable use; whaling</t>
  </si>
  <si>
    <t>SEALS MIROUNGA-LEONINA; CONSERVATION; FISHERIES; ECOSYSTEM</t>
  </si>
  <si>
    <t>Man's activities have impacted on the Southern Ocean ecosystem for more than 200 years. The exploitation of Southern Ocean resources has followed the same pattern as in other parts of the World Ocean with exploitation starting at the highest trophic levels when seals and whales were taken in the 19th and 20th centuries. After serious over-exploitation of these groups attention moved down the food web to begin exploitation of fish and krill from the late 1960s onwards. The establishment of international management regimes for whales (International Whaling Convention) in 1948 and the remaining marine resources (Convention for the Conservation of Antarctic Marine Living Resources) in 1982 were based on different perceptions of management, the former only considering management by species whilst the latter adopted management at an ecosystem level. These fundamentally different approaches, together with major political interference, have resulted in very different outcomes for management. The Scientific Committee of the IWC developed a sustainable management system, the Revised Management Procedure, in the first half of the 1990s which, however, is still awaiting inclusion into an overall management regime, the Revised Management Scheme, and its acceptance by the Commission. The IWC is now paralysed by political agendas that have nothing to do with scientific management. In contrast, after an early period of slow progress, CCAMLR has improved its performance substantially from the beginning of the 1990s onwards and is now hailed worldwide for its ecosystem approach to sustainable management.</t>
  </si>
  <si>
    <t>BFA Fischerei, Inst Seefischerei, D-22767 Hamburg, Germany</t>
  </si>
  <si>
    <t>Kock, KH (corresponding author), BFA Fischerei, Inst Seefischerei, Palmaille 9, D-22767 Hamburg, Germany.</t>
  </si>
  <si>
    <t>karl-hermann.kock@ish.bfa-fisch.de</t>
  </si>
  <si>
    <t>10.1017/S0954102007000302</t>
  </si>
  <si>
    <t>WOS:000247196900011</t>
  </si>
  <si>
    <t>La Terza, A; Passini, V; Barchetta, S; Luporini, P</t>
  </si>
  <si>
    <t>La Terza, Antonietta; Passini, Valerio; Barchetta, Sabrina; Luporini, Pierangelo</t>
  </si>
  <si>
    <t>Adaptive evolution of the heat-shock response in the Antarctic psychrophilic ciliate, Euplotes focardii:: hints from a comparative determination of the hsp70 gene structure</t>
  </si>
  <si>
    <t>ciliates; cis- and trans-regulatory elements; cold-adaptation; extremophiles; stress-inducible genes</t>
  </si>
  <si>
    <t>AU-RICH ELEMENTS; BINDING DOMAIN; TRANSCRIPTION FACTORS; DNA-BINDING; PROTEIN; EXPRESSION; HYDRA; COLD; HEAT-SHOCK-PROTEIN-70; THERMOTOLERANCE</t>
  </si>
  <si>
    <t>The Antarctic psychrophilic ciliate Euplotes focardii manifests a dramatic reduction in the activation of its hsp70 gene in response to a heat-shock, while oxidative and chemical stresses activate the transcription of this gene to appreciable extents. To investigate the genetic causes of this eccentric behaviour of E. focardii in the hsp70 gene transcription activation, we carried out a comparative structural analysis of this gene between E. focardii and another Antarctic Euplotes, E. nobilii, which manifests a psychrotrophic behaviour and an inducible thermal response. No substantial difference was detected in the organization of the hsp70 5' promoter region, both species bearing canonical regulatory cis-acting elements deputed to bind transcriptional trans-activating factors. Adenine-rich elements favouring mRNA degradation were instead detected in the hsp70 3' regulatory region of E. nobilii, but not in that of E. focardii. These observations lend further support to the hypothesis that the causes of the Euplotes focardii unresponsiveness to thermal stress resides in some structural, or functional modifications of transcriptional trans-activating factors.</t>
  </si>
  <si>
    <t>Univ Camerino, Dipartimento Biol Mol Cellulare &amp; Anim, I-62032 Camerino, Italy</t>
  </si>
  <si>
    <t>University of Camerino</t>
  </si>
  <si>
    <t>La Terza, A (corresponding author), Univ Camerino, Dipartimento Biol Mol Cellulare &amp; Anim, I-62032 Camerino, Italy.</t>
  </si>
  <si>
    <t>antonietta.laterza@unicam.it</t>
  </si>
  <si>
    <t>La Terza, Antonietta/0000-0002-1244-1503</t>
  </si>
  <si>
    <t>10.1017/S0954102007000314</t>
  </si>
  <si>
    <t>WOS:000247196900012</t>
  </si>
  <si>
    <t>Pearce, DA; Cockell, CS; Lindström, ES; Tranvik, LJ</t>
  </si>
  <si>
    <t>Pearce, David A.; Cockell, Charles S.; Lindstrom, Eva S.; Tranvik, Lars J.</t>
  </si>
  <si>
    <t>First evidence for a bipolar distribution of dominant freshwater lake bacterioplankton</t>
  </si>
  <si>
    <t>16S rRNA gene; bacteria; biogeography; clone library; cosmopolitan; DGGE; freshwater cluster</t>
  </si>
  <si>
    <t>16S RIBOSOMAL-RNA; COMMUNITY STRUCTURE; GENE-SEQUENCES; ARCTIC-OCEAN; DIVERSITY; BACTERIA; MARINE; ACTINOBACTERIA; HYBRIDIZATION; BIODIVERSITY</t>
  </si>
  <si>
    <t>As a result of the recent application of DNA based technology to the investigation of maritime Antarctic freshwater lakes, patterns have begun to emerge in the bacterioplankton communities that dominate these systems. In this study, the bacterioplankton communities of five Antarctic and five Arctic freshwater lakes were assessed and compared with existing data in the literature, to determine whether emerging patterns in Antarctic lakes also applied to Arctic systems. Such a bipolar comparison is particularly timely., given the current interest in biogeography, the global distribution of microorganisms and the controversy over the global ubiquity hypothesis. In addition, it has recently been discovered that commonly encountered bacterial sequences, often originating from uncultivated bacteria obtained on different continents, form coherent phylogenetic freshwater clusters. In this study we encountered both identical sequences and sequences with a high degree of similarity among the bacterioplankton in lake water from both poles. In addition, Arctic freshwater lakes appeared to be dominated by some of the same groups of bacterioplankton thought to be dominant in Antarctic lakes, the vast majority of which represented uncultivated groups.</t>
  </si>
  <si>
    <t>British Antarctic Survey, NERC, Cambridge CB3 OET, England; Open Univ, Planetary &amp; Space Sci Res Inst, Milton Keynes MK7 6AA, Bucks, England; Uppsala Univ, Evolut Biol Ctr, Dept Ecol &amp; Evolut, SE-75236 Uppsala, Sweden</t>
  </si>
  <si>
    <t>UK Research &amp; Innovation (UKRI); Natural Environment Research Council (NERC); NERC British Antarctic Survey; Open University - UK; Uppsala University</t>
  </si>
  <si>
    <t>Pearce, DA (corresponding author), British Antarctic Survey, NERC, High Cross,Madingley Rd, Cambridge CB3 OET, England.</t>
  </si>
  <si>
    <t>dpearce@bas.ac.uk</t>
  </si>
  <si>
    <t>Tranvik, Lars J/H-2222-2011; Lindström, Eva/H-5930-2016</t>
  </si>
  <si>
    <t>Lindström, Eva/0000-0001-8920-3071; Pearce, David/0000-0001-5292-4596; Tranvik, Lars J./0000-0003-3509-8266</t>
  </si>
  <si>
    <t>10.1017/S0954102007000326</t>
  </si>
  <si>
    <t>WOS:000247196900013</t>
  </si>
  <si>
    <t>Quetin, LB; Ross, RM; Fritsen, CH; Vernet, M</t>
  </si>
  <si>
    <t>Quetin, Langdon B.; Ross, Robin M.; Fritsen, Christian H.; Vernet, Maria</t>
  </si>
  <si>
    <t>Ecological responses of Antarctic krill to environmental variability: can we predict the future?</t>
  </si>
  <si>
    <t>climate change; larval krill; Palmer LTER; sea ice dynamics; Southern Ocean GLOBEC</t>
  </si>
  <si>
    <t>EUPHAUSIA-SUPERBA DANA; SEA-ICE EXTENT; EARLY LIFE-HISTORY; SOUTHERN-OCEAN; CLIMATE-CHANGE; LARVAL KRILL; MARINE ECOSYSTEM; FOOD-WEB; PENINSULA REGION; ENERGY BUDGETS</t>
  </si>
  <si>
    <t>Antarctic krill are a key species in the Southern Ocean ecosystem, and their life cycle appears to be correlated with, and by implication dependent upon, seasonal sea ice dynamics. Moving from correlations with environmental parameters to an understanding of the mechanisms that lead to these correlations may allow predictions of the consequences of climate change on the distribution of favourable habitat for Antarctic krill. During winter cruises in 2001 and 2002 in the region west of the Antarctic Peninsula, one of the most rapidly warming regions on the planet, ice camps were established for periods of 3-9 days. Timing of sea ice advance, chlorophyll a concentrations in ice cores, and growth rates and pigment content of larval krill all differed significantly between winters. Growth rates and pigment content of larval krill from the same ice floe were correlated, suggesting that growth rates in winter are a function of the biomass of the sea ice microbial community. A possible mechanism underlying the correlation between recruitment success and timing of ice advance is proposed. In conjunction with other postulated habitat requirements, this proposed mechanism allows for speculation about future changes in the geographic location of favourable habitat for Antarctic krill.</t>
  </si>
  <si>
    <t>Univ Calif Santa Barbara, Inst Marine Sci, Santa Barbara, CA 93106 USA; Univ Nevada, Desert Res Inst, Reno, NV 89512 USA; Univ Calif San Diego, Scripps Inst Oceanog, La Jolla, CA 92093 USA</t>
  </si>
  <si>
    <t>University of California System; University of California Santa Barbara; Nevada System of Higher Education (NSHE); Desert Research Institute NSHE; University of Nevada Reno; University of California System; University of California San Diego; Scripps Institution of Oceanography</t>
  </si>
  <si>
    <t>Quetin, LB (corresponding author), Univ Calif Santa Barbara, Inst Marine Sci, Santa Barbara, CA 93106 USA.</t>
  </si>
  <si>
    <t>langdon@icess.ucsb.edu</t>
  </si>
  <si>
    <t>10.1017/S0954102007000363</t>
  </si>
  <si>
    <t>WOS:000247196900014</t>
  </si>
  <si>
    <t>Reid, K</t>
  </si>
  <si>
    <t>Reid, Keith</t>
  </si>
  <si>
    <t>Monitoring and management in the Antarctic making the link between science and policy</t>
  </si>
  <si>
    <t>fishing; human impact; monitoring objectives; Southern Ocean</t>
  </si>
  <si>
    <t>SOUTHERN-OCEAN; PREDATORS; ECOSYSTEM; VARIABILITY; FISHERIES</t>
  </si>
  <si>
    <t>Management of human impacts in the Antarctic requires an effective system of monitoring to provide information about the process being managed and the effectiveness of management actions. Human impacts arise as a result of processes that originate in the region (endogenous) and those that originate outside the region (exogenous). A number of monitoring programmes have been established in both terrestrial and marine systems to measure impacts that arise as a result of endogenous process such as fishing, tourism and research. However, most of this monitoring is surveillance monitoring, which is not linked to a specific management objective, and does not produce quantitative metrics that can be assessed and compared to agreed targets. However, defining such target levels for the Antarctic, where the aim is to minimise human impacts, is a complex process. Although potential analogues for target setting exist in other parts of the world these are generally insufficiently precautionary to be applied in the Antarctic. The challenge for scientists and policyrnakers working in the Antarctic is to provide quantitative measures, with agreed trigger levels, and to develop appropriate monitoring schemes to manage human impacts in the future.</t>
  </si>
  <si>
    <t>Reid, K (corresponding author), British Antarctic Survey, NERC, High Cross,Madingley Rd, Cambridge CB3 0ET, England.</t>
  </si>
  <si>
    <t>k.reid@bas.ac.uk</t>
  </si>
  <si>
    <t>10.1017/S0954102007000338</t>
  </si>
  <si>
    <t>WOS:000247196900015</t>
  </si>
  <si>
    <t>Verde, C; Vergara, A; Giordano, D; Mazzarella, L; Di Prisco, G</t>
  </si>
  <si>
    <t>Verde, Cinzia; Vergara, Alessandro; Giordano, Daniela; Mazzarella, Lelio; Di Prisco, Guido</t>
  </si>
  <si>
    <t>The Root effect - a structural and evolutionary perspective</t>
  </si>
  <si>
    <t>Antarctica; evolution; fish; haemoglobin; pH-regulation; structure</t>
  </si>
  <si>
    <t>FISH PAGOTHENIA-BERNACCHII; AMINO-ACID-SEQUENCE; T-STATE HEMOGLOBIN; CRYSTAL-STRUCTURE; TREMATOMUS-NEWNESI; FUNCTIONAL-PROPERTIES; OXYGEN EQUILIBRIA; MODEL; PH; STEREOCHEMISTRY</t>
  </si>
  <si>
    <t>Haemoglobin carries oxygen from the environment to tissues; in vertebrates, it is contained in specialized cells, called erythrocytes. Over the last century, the study of the chemical properties of this haernoprotein has provided a wealth of information. One of its most important and ancient physiological features is the Root effect, found in many teleost fish (and some amphibians). The Root effect corresponds to an extreme pH sensitivity and can be described as an exaggerated Bohr effect: it dictates to what extent the oxygen tension can be raised in acid-producing tissues. It is likely that the eye choroid rete represents the most ancient anatomical structure associated with the presence of Root effect haemoglobins. This review describes our overall understanding of the molecular properties, biological occurrence, physiological role and evolutionary origin of Root effect haemoglobins. The current knowledge of the structural properties of Root effect haemoglobins is discussed in the light of recent results obtained on the haemoglobins of the cold-adapted notothenioids Trematomus newnesi and T. bernacchii.</t>
  </si>
  <si>
    <t>CNR, Inst Prot Biochem, I-80131 Naples, Italy; Univ Naples Federico II, Dipartimento Chim, I-80126 Naples, Italy; CNR, Inst Biostrutture &amp; Bioimmagini, I-80134 Naples, Italy</t>
  </si>
  <si>
    <t>Consiglio Nazionale delle Ricerche (CNR); Istituto di Biochimica delle Proteine (IBP-CNR); University of Naples Federico II; Consiglio Nazionale delle Ricerche (CNR); Istituto di Biostrutture e Bioimmagini (IBB-CNR)</t>
  </si>
  <si>
    <t>Verde, C (corresponding author), CNR, Inst Prot Biochem, Via Pietro Castellino 111, I-80131 Naples, Italy.</t>
  </si>
  <si>
    <t>Giordano, Daniela/AFK-7772-2022; Vergara, Alessandro/C-4435-2013</t>
  </si>
  <si>
    <t>Giordano, Daniela/0000-0002-8891-6245; VERDE, Cinzia/0000-0001-6185-282X; Vergara, Alessandro/0000-0003-4135-0245</t>
  </si>
  <si>
    <t>10.1017/S095410200700034X</t>
  </si>
  <si>
    <t>WOS:000247196900016</t>
  </si>
  <si>
    <t>Huiskes, A</t>
  </si>
  <si>
    <t>Huiskes, Ad</t>
  </si>
  <si>
    <t>Evolution and biodiversity in the Antarctic: the response of life to change</t>
  </si>
  <si>
    <t>MANAGEMENT; KRILL</t>
  </si>
  <si>
    <t>Netherlands Inst Ecol, Unit Polar Ecol, NL-4400 AC Yerseke, Netherlands</t>
  </si>
  <si>
    <t>Royal Netherlands Academy of Arts &amp; Sciences; Netherlands Institute of Ecology (NIOO-KNAW)</t>
  </si>
  <si>
    <t>Huiskes, A (corresponding author), Netherlands Inst Ecol, Unit Polar Ecol, PO Box 140, NL-4400 AC Yerseke, Netherlands.</t>
  </si>
  <si>
    <t>a.huiskes@nioo.knaw.nl</t>
  </si>
  <si>
    <t>Huiskes, Ad/C-3252-2011</t>
  </si>
  <si>
    <t>10.1017/S0954102007000399</t>
  </si>
  <si>
    <t>WOS:000247196900017</t>
  </si>
  <si>
    <t>Walker, JJ; Pace, NR</t>
  </si>
  <si>
    <t>Walker, Jeffrey J.; Pace, Norman R.</t>
  </si>
  <si>
    <t>Phylogenetic composition of Rocky Mountain endolithic microbial ecosystems</t>
  </si>
  <si>
    <t>BACTERIAL DIVERSITY; ANTARCTIC DESERT; DRY VALLEYS; COMMUNITY; ENVIRONMENT; ARCHAEA; UNIFRAC; ALGAE; SOILS; OCEAN</t>
  </si>
  <si>
    <t>The endolithic environment, the pore space in rocks, is a ubiquitous microbial habitat. Photosynthesis-based endolithic communities inhabit the outer few millimeters to centimeters of rocks exposed to the surface. Such endolithic ecosystems have been proposed as simple, tractable models for understanding basic principles in microbial ecology. In order to test previously conceived hypotheses about endolithic ecosystems, we studied selected endolithic communities in the Rocky Mountain region of the United States with culture-independent molecular methods. Community compositions were determined by determining rRNA gene sequence contents, and communities were compared using statistical phylogenetic methods. The results indicate that endolithic ecosystems are seeded from a select, global metacommunity and form true ecological communities that are among the simplest microbial ecosystems known. Statistical analysis showed that biogeographical characteristics that control community composition, such as rock type, are more complex than predicted. Collectively, results of this study support the idea that patterns of microbial diversity found in endolithic communities are governed by principles similar to those observed in macroecological systems.</t>
  </si>
  <si>
    <t>Univ Colorado, Dept Mol Cellular &amp; Dev Biol, Boulder, CO 80309 USA; Univ Colorado, Ctr AStrobiol, Boulder, CO 80309 USA</t>
  </si>
  <si>
    <t>University of Colorado System; University of Colorado Boulder; University of Colorado System; University of Colorado Boulder</t>
  </si>
  <si>
    <t>Pace, NR (corresponding author), Univ Colorado, Dept Mol Cellular &amp; Dev Biol, Boulder, CO 80309 USA.</t>
  </si>
  <si>
    <t>nrpace@colorado.edu</t>
  </si>
  <si>
    <t>PACE, NORMAN/0000-0002-8590-5129</t>
  </si>
  <si>
    <t>10.1128/AEM.02656-06</t>
  </si>
  <si>
    <t>175MB</t>
  </si>
  <si>
    <t>Green Accepted, Green Published</t>
  </si>
  <si>
    <t>WOS:000247016600006</t>
  </si>
  <si>
    <t>Yoshitomi, B; Aoki, M; Oshima, SI</t>
  </si>
  <si>
    <t>Yoshitomi, Bunji; Aoki, Masatoshi; Oshima, Syun-ichirou</t>
  </si>
  <si>
    <t>Effect of total replacement of dietary fish meal by low fluoride krill (Euphausia superba) meal on growth performance of rainbow trout (Oncorhynchus mykiss) in fresh water</t>
  </si>
  <si>
    <t>AQUACULTURE</t>
  </si>
  <si>
    <t>antarctic krill; fish meal; krill meal; salmonid diets; rainbow trout; fluoride</t>
  </si>
  <si>
    <t>ANTARCTIC KRILL</t>
  </si>
  <si>
    <t>This study aimed to totally replace fish meal (FM) in diets by low fluoride krill (Euphausia superba) meal (LFK). LFK was prepared by removing exoskeletons from dried whole krill to give a fluoride content of approximately one-fourth of krill meal (KM) at 230 ppm for LFK and 870 ppm for KM. Experimental diets replaced FM with LFK at the replacement proportions of 0.0%, 7.7%, 15.4%, 30.8%, 46.2% and 100.0% (control, LFK7, LFK15, LFK30, LFK46 and LFK100) and were fed to groups of rainbow trout (Oncorhynchus mykiss) in duplicate for 95 days in fresh water and growth was observed. In all experimental groups, feed intake, feed efficiency, specific growth rate and hepatosomatic index were unchanged compared with fish fed the control diet (P&lt;0.05). After 95 days, the fluoride concentration in dorsal muscles of the fish of each experimental group, except LFK100, was below the detectable limit (1 mg/kg), and in vertebral bones it was between 220 mg/kg and 420 mg/kg. However, the dorsal muscle and the vertebral bone of LFK100 contained 1 mg/kg and 1800 mg/kg of fluoride, respectively. Tissue specimens of the liver of each experimental group at 95 days had no histopathological changes. The total replacement of FM from LFK in diets was successful with no defects of growth performances. This study showed that krill protein had a nutritional value equivalent to FM. (c) 2007 Elsevier B.V. All rights reserved.</t>
  </si>
  <si>
    <t>Nippon Suisan Kaisha Ltd, Cent Res Lab, Hachioji, Tokyo 1920906, Japan; Kochi Univ, Grad Sch Kuroshio Sci, Div Marine Bioresource Sci, Lab Fish Dis, Kochi 7838502, Japan</t>
  </si>
  <si>
    <t>Nippon Suisan Kaisha, Ltd.; Kochi University</t>
  </si>
  <si>
    <t>Yoshitomi, B (corresponding author), Nippon Suisan Kaisha Ltd, Cent Res Lab, 559-6 Kitano Machi, Hachioji, Tokyo 1920906, Japan.</t>
  </si>
  <si>
    <t>bunjiy@nissui.co.jp</t>
  </si>
  <si>
    <t>0044-8486</t>
  </si>
  <si>
    <t>1873-5622</t>
  </si>
  <si>
    <t>Aquaculture</t>
  </si>
  <si>
    <t>JUN 1</t>
  </si>
  <si>
    <t>10.1016/j.aquaculture.2006.12.043</t>
  </si>
  <si>
    <t>170ID</t>
  </si>
  <si>
    <t>WOS:000246655600024</t>
  </si>
  <si>
    <t>Sancho, LG; de la Torre, R; Horneck, G; Ascaso, C; de los Rios, A; Pintado, A; Wierzchos, J; Schuster, M</t>
  </si>
  <si>
    <t>Sancho, Leopoldo G.; De la Torre, Rosa; Horneck, Gerda; Ascaso, Carmen; de los Rios, Asuncion; Pintado, Ana; Wierzchos, J.; Schuster, M.</t>
  </si>
  <si>
    <t>Lichens survive in space: Results from the 2005 LICHENS experiment</t>
  </si>
  <si>
    <t>lithopanspermia; eobiology; lichens; BIOPAN experiment</t>
  </si>
  <si>
    <t>BACILLUS-SUBTILIS SPORES; CHLOROPHYLL FLUORESCENCE; BACTERIAL-SPORES; MICROORGANISMS; ENVIRONMENT; RESISTANCE</t>
  </si>
  <si>
    <t>This experiment was aimed at establishing, for the first time, the survival capability of lichens exposed to space conditions. In particular, the damaging effect of various wavelengths of extraterrestrial solar UV radiation was studied. The lichens used were the bipolar species Rhizocarpon geographicum and Xanthoria elegans, which were collected above 2000 m in the mountains of central Spain and as endolithic communities inhabiting granites in the Antarctic Dry Valleys. Lichens were exposed to space in the BIOPAN-5 facility of the European Space Agency; BIOPAN-5 is located on the outer shell of the Earth-orbiting FOTON-M2 Russian satellite. The lichen samples were launched from Baikonur by a Soyuz rocket on May 31, 2005, and were returned to Earth after 16 days in space, at which time they were tested for survival. Chlorophyll fluorescence was used for the measurement of photosynthetic parameters. Scanning electron microscopy in back-scattered mode, low temperature scanning electron microscopy, and transmission electron microscopy were used to study the organization and composition of both symbionts. Confocal laser scanning microscopy, in combination with the use of specific fluorescent probes, allowed for the assessment of the physiological state of the cells. All exposed lichens, regardless of the optical filters used, showed nearly the same photosynthetic activity after the flight as measured before the flight. Likewise, the multimicroscopy approach revealed no detectable ultrastructural changes in most of the algal and fungal cells of the lichen thalli, though a greater proportion of cells in the flight samples had compromised membranes, as revealed by the LIVE/DEAD BacLight Bacterial Viability Kit. These findings indicate that most lichenized fungal and algal cells can survive in space after full exposure to massive UV and cosmic radiation, conditions proven to be lethal to bacteria and other microorganisms. The lichen upper cortex seems to provide adequate protection against solar radiation. Moreover, after extreme dehydration induced by high vacuum, the lichens proved to be able to recover, in full, their metabolic activity within 24 hours.</t>
  </si>
  <si>
    <t>Univ Complutense, Dept Biol Vegetal 2, Fac Farm, E-28040 Madrid, Spain; Inst Nacl Tecn Aeroespacial, Madrid, Spain; German Aerosp Ctr DLR, Inst Aerosp Med, Cologne, Germany; CSIC, Ctr Ciencias Medioambientales, Madrid, Spain; Univ Lleida, Serv Microscopia Elect, Lleida, Spain; Univ Erlangen Nurnberg, Erlangen, Germany</t>
  </si>
  <si>
    <t>Complutense University of Madrid; Helmholtz Association; German Aerospace Centre (DLR); Consejo Superior de Investigaciones Cientificas (CSIC); CSIC - Centro de Ciencias Medioambientales (CCMA); Universitat de Lleida; University of Erlangen Nuremberg</t>
  </si>
  <si>
    <t>Sancho, LG (corresponding author), Univ Complutense, Dept Biol Vegetal 2, Fac Farm, Plaza Ramon &amp; Cajal S-N, E-28040 Madrid, Spain.</t>
  </si>
  <si>
    <t>sancholg@farm.ucm.es</t>
  </si>
  <si>
    <t>Pintado, Ana/G-9881-2015; de la Torre Noetzel, Rosa/AAA-2920-2019; Sancho, leopoldo G./H-2974-2013; de los Rios, Asuncion/L-3694-2014; SANCHO, LEOPOLDO/G-9120-2015; Ascaso, Carmen/F-5369-2011; Wierzchos, Jacek/F-7036-2011</t>
  </si>
  <si>
    <t>de los Rios, Asuncion/0000-0002-0266-3516; SANCHO, LEOPOLDO/0000-0002-4751-7475; Ascaso, Carmen/0000-0001-9665-193X; Wierzchos, Jacek/0000-0003-3084-3837; de la Torre Noetzel, Maria Rosa/0000-0003-2394-0268; PINTADO, ANA/0000-0003-3007-1486</t>
  </si>
  <si>
    <t>10.1089/ast.2006.0046</t>
  </si>
  <si>
    <t>191YC</t>
  </si>
  <si>
    <t>WOS:000248166900002</t>
  </si>
  <si>
    <t>Strassmeier, KG; Agabi, K; Agnoletto, L; Allan, A; Andersen, MI; Ansorge, W; Bortoletto, F; Briguglio, R; Buey, JT; Castellini, S; du Foresto, VC; Damé, L; Deeg, HJ; Eiroa, C; Durand, G; Fappani, D; Frezzotti, M; Granzer, T; Gröschke, A; Kärcher, HJ; Lenzen, R; Mancini, A; Montanari, C; Mora, A; Pierre, A; Pirnay, O; Roncella, F; Schmider, FX; Steele, I; Storey, JWV; Tothill, NFH; Travouillon, T; Vittuari, L; Weber, M</t>
  </si>
  <si>
    <t>Strassmeier, K. G.; Agabi, K.; Agnoletto, L.; Allan, A.; Andersen, M. I.; Ansorge, W.; Bortoletto, F.; Briguglio, R.; Buey, J.-T.; Castellini, S.; du Foresto, V. Coude; Dame, L.; Deeg, H. J.; Eiroa, C.; Durand, G.; Fappani, D.; Frezzotti, M.; Granzer, T.; Groeschke, A.; Kaercher, H. J.; Lenzen, R.; Mancini, A.; Montanari, C.; Mora, A.; Pierre, A.; Pirnay, O.; Roncella, F.; Schmider, F.-X.; Steele, I.; Storey, J. W. V.; Tothill, N. F. H.; Travouillon, T.; Vittuari, L.; Weber, M.</t>
  </si>
  <si>
    <t>Telescope and instrument robotization at Dome C</t>
  </si>
  <si>
    <t>ASTRONOMISCHE NACHRICHTEN</t>
  </si>
  <si>
    <t>atmospheric effects; instrumentation : miscellaneous; site testing; telescopes</t>
  </si>
  <si>
    <t>EAST ANTARCTICA; LIVERPOOL-TELESCOPE; SNOW ACCUMULATION; ASTRONOMY; NETWORK; DESIGN</t>
  </si>
  <si>
    <t>This article reviews the situation for robotization of telescopes and instruments at the Antarctic station Concordia on Dome C. A brain-storming meeting was held in Tenerife in March 2007 from which this review emerged. We describe and summarize the challenges for night-time operations of various astronomical experiments at conditions between Earth and Space and conclude that robotization is likely a prerequisite for continuous astronomical data taking during the 2000-hour night at Dome C. (c) 2007 WILEY-VCH Verlag GmbH &amp; Co. KGaA, Weinheim.</t>
  </si>
  <si>
    <t>Astrophys Inst Potsdam, D-14482 Potsdam, Germany; Univ Nice Sophia Antipolis, Lab Univ Astrophys Nice, Nice, France; Casaccia Res Ctr, Italian Natl Program Res Antarctica, SCrl COENEA, Rome, Italy; Univ Exeter, Sch Phys, Exeter EX4 4QL, Devon, England; RAMS CON Management Consultants, D-85617 Assling, Germany; INAF Osservatorio Astronom Padua, I-35122 Padua, Italy; Univ Roma La Sapienza, Dipartimento Fis, I-00185 Rome, Italy; Observ Paris, LESIA, F-92190 Meudon, France; Univ Perugia, Dipartimento Fis, I-06100 Perugia, Italy; CNRS, Serv Aeron, F-91371 Verrieres Le Buisson, France; Inst Astrofis Canarias, Tenerife, Spain; Univ Autonoma Madrid, Dept Fis Teor, E-28049 Madrid, Spain; CEA Saclay, DAPNIA, Serv Astrophys, F-91191 Gif Sur Yvette, France; Societe Europeenne Syst Opt, Aix En Provence, France; Ente Nuove Tecnol, Rome, Italy; Alfred Wegener Inst Polar &amp; Marine Res, D-2850 Bremerhaven, Germany; MT Mechatron GmbH, Mainz, Germany; Max Planck Inst Astron, D-69117 Heidelberg, Germany; Inst Polaire Francais Paul Emile Victore, Brest, France; AMOS SA, Liege, Belgium; Liverpool John Moores Univ, Liverpool L3 5UX, Merseyside, England; Univ New S Wales, Sydney, NSW, Australia; CALTECH, Pasadena, CA 91125 USA; Univ Bologna, DISTART, I-40136 Bologna, Italy</t>
  </si>
  <si>
    <t>Universite Cote d'Azur; Italian National Agency New Technical Energy &amp; Sustainable Economics Development; University of Exeter; University of Padua; Sapienza University Rome; Universite PSL; Observatoire de Paris; University of Perugia; Centre National de la Recherche Scientifique (CNRS); Instituto de Astrofisica de Canarias; Consejo Superior de Investigaciones Cientificas (CSIC); CSIC - UAM - Institut de Fisica Teorica (IFT); Autonomous University of Madrid; Universite Paris Saclay; CEA; Helmholtz Association; Alfred Wegener Institute, Helmholtz Centre for Polar &amp; Marine Research; Max Planck Society; Liverpool John Moores University; University of New South Wales Sydney; California Institute of Technology; University of Bologna</t>
  </si>
  <si>
    <t>Strassmeier, KG (corresponding author), Astrophys Inst Potsdam, Sternwarte 16, D-14482 Potsdam, Germany.</t>
  </si>
  <si>
    <t>kstrassmeier@aip.de</t>
  </si>
  <si>
    <t>FREZZOTTI, Massimo/AAK-7275-2020; Tothill, Nicholas/O-2682-2019; Deeg, Hans J./AAB-1361-2019; Schmider, François-Xavier/C-5435-2012; Vittuari, Luca/C-1606-2018; Andersen, Michael/H-6403-2018; Tothill, Nicholas/M-6379-2016</t>
  </si>
  <si>
    <t>FREZZOTTI, Massimo/0000-0002-2461-2883; Deeg, Hans J./0000-0003-0047-4241; Granzer, Thomas/0000-0002-5310-1521; Tothill, Nicholas/0000-0002-9931-5162; Briguglio, Runa/0000-0002-0495-0543; Schmider, Francois-Xavier/0000-0003-3914-3546; Travouillon, Tony/0000-0001-9304-6718; Vittuari, Luca/0000-0002-9815-1004</t>
  </si>
  <si>
    <t>WILEY-V C H VERLAG GMBH</t>
  </si>
  <si>
    <t>WEINHEIM</t>
  </si>
  <si>
    <t>POSTFACH 101161, 69451 WEINHEIM, GERMANY</t>
  </si>
  <si>
    <t>0004-6337</t>
  </si>
  <si>
    <t>1521-3994</t>
  </si>
  <si>
    <t>ASTRON NACHR</t>
  </si>
  <si>
    <t>Astro. Nachr.</t>
  </si>
  <si>
    <t>10.1002/asna.200710780</t>
  </si>
  <si>
    <t>194SO</t>
  </si>
  <si>
    <t>WOS:000248364300001</t>
  </si>
  <si>
    <t>Wang, YH; Choi, Y; Zeng, T; Davis, D; Buhr, M; Huey, LG; Neff, W</t>
  </si>
  <si>
    <t>Wang, Yuhang; Choi, Yunsoo; Zeng, Tao; Davis, Douglas; Buhr, Martin; Huey, L. Gregory; Neff, William</t>
  </si>
  <si>
    <t>Assessing the photochemical impact of snow NOx emissions over Antarctica during ANTCI 2003</t>
  </si>
  <si>
    <t>Antarctica; photochemistry and transport; snow emissions; nitrogen flux; ANTCI</t>
  </si>
  <si>
    <t>SOUTH-POLE; ISCAT 2000; PEROXYNITRIC ACID; UPPER TROPOSPHERE; BOUNDARY-LAYER; GREENLAND; CHEMISTRY; MODEL; OH; CIRCULATION</t>
  </si>
  <si>
    <t>Surface and aircraft measurements show large amounts of reactive nitrogen over the Antarctic plateau during the ANTCI 2003 experiment. We make use of 1-D and 3-D chemical transport model simulations to analyze these measurements and assess the photochemical impact of snow NOx emissions. Boundary layer heights measured by SODAR at the South Pole were simulated reasonably well by the polar version of MM5 after a modification of ETA turbulence scheme. The average of model-derived snow NOx emissions (3.2-4.2 x 10(8) molec cm(-2) s(-1)) at the South Pole is similar to the measured flux of 3.9 x 10(8) molec cm(-2) s(-1) during ISCAT 2000. Daytime snow NO, emission is parameterized as a function of temperature and wind speed. Surface measurements of NOx HNO3 and HNO4, and balloon measurements of NO at the South Pole are reasonably simulated by 1-D and 3-D models. Compared to Twin Otter measurements of NO over plateau regions, 3-D model simulated NO concentrations are at the low end of the observations, suggesting either that the parameterization based on surface measurements at the South Pole underestimates emissions at higher-elevation plateau regions or that the limited aircraft database may not be totally representative for the season of the year sampled. However, the spatial variability of near-surface NO measured by the aircraft is captured by the model to a large extent, indicating that snow NOx emissions are through a common mechanism. An average emission flux of 0.25 kgN km(-2) month(-1) is calculated for December 2003 over the plateau (elevation above 2.5 km). About 50% of reactive nitrogen is lost by deposition and the other 50% by transport. The 3-D model results indicate a shallow but highly photochemically active oxidizing canopy enshrouding the entire Antarctic plateau due to snow NOx emissions. (C) 2007 Elsevier Ltd. All rights reserved.</t>
  </si>
  <si>
    <t>Georgia Inst Technol, Atlanta, GA 30332 USA; Air Qual Design, Golden, CO 80403 USA; NOAA, Earth Syst Res Lab, Div Phys Sci, Boulder, CO 80305 USA</t>
  </si>
  <si>
    <t>University System of Georgia; Georgia Institute of Technology; National Oceanic Atmospheric Admin (NOAA) - USA</t>
  </si>
  <si>
    <t>Wang, YH (corresponding author), Georgia Inst Technol, Atlanta, GA 30332 USA.</t>
  </si>
  <si>
    <t>ywang@eas.gatech.edu</t>
  </si>
  <si>
    <t>Neff, William D/E-2725-2010; Wang, Yuhang/B-5578-2014</t>
  </si>
  <si>
    <t>Neff, William D/0000-0003-4047-7076; Wang, Yuhang/0000-0002-7290-2551; Choi, Yunsoo/0000-0002-4488-7833</t>
  </si>
  <si>
    <t>10.1016/j.atmosenv.2007.01.056</t>
  </si>
  <si>
    <t>177PM</t>
  </si>
  <si>
    <t>WOS:000247165000001</t>
  </si>
  <si>
    <t>Szyszka, B; Ivanov, AG; Hüner, NPA</t>
  </si>
  <si>
    <t>Szyszka, Beth; Ivanov, Alexander G.; Huner, Norman P. A.</t>
  </si>
  <si>
    <t>Psychrophily is associated with differential energy partitioning, photosystem stoichiometry and polypeptide phosphorylation in Chlamydomonas raudensis</t>
  </si>
  <si>
    <t>BIOCHIMICA ET BIOPHYSICA ACTA-BIOENERGETICS</t>
  </si>
  <si>
    <t>International Conference on Photosynthesis in the Post Genomic Era - Structure and Function of Photosystems</t>
  </si>
  <si>
    <t>AUG 20-26, 2006</t>
  </si>
  <si>
    <t>Pushchino, RUSSIA</t>
  </si>
  <si>
    <t>Chlamydomonas raudensis; chlorophyll fluorescence; cold acclimation; energy partitioning; photostasis; psychrophily</t>
  </si>
  <si>
    <t>II EXCITATION PRESSURE; HARVESTING COMPLEX-II; GREEN-ALGA; PHOTOSYNTHETIC APPARATUS; CHLOROPHYLL FLUORESCENCE; PROTEIN-PHOSPHORYLATION; ANTARCTIC PSYCHROPHILE; STATE TRANSITIONS; CYTOCHROME B(6)F; REACTION CENTERS</t>
  </si>
  <si>
    <t>Chlamydomonas raudensis UWO 241 and SAG 49.72 represent the psychrophilic and mesophilic strains of this green algal species. This novel discovery was exploited to assess the role of psychrophily in photoacclimation to growth temperature and growth irradiance. At their optimal growth temperatures of 8 degrees C and 28 degrees C respectively, UWO 241 and SAG 49.72 maintained comparable photostasis, that is energy balance, as measured by PSII excitation pressure. Although UWO 241 exhibited higher excitation pressure, measured as 1-qL, at all growth light intensities, the relative changes in 1-qL were similar to that of SAG 49.72 in response to growth light. In response to suboptimal temperatures and increased growth irradiance, SAG 49.72 favoured energy partitioning of excess excitation energy through inducible, down regulatory processes (Phi(NPQ)) associated with the xanthophyll cycle and antenna quenching, while UWO 241 favoured xanthophyll cycle-independent energy partitioning through constitutive processes involved in energy dissipation (Phi(NO)) In contrast to SAG 49.72, an elevation in growth temperature induced an increase in PSI/PSII stoichiometry in UWO 241. Furthermore, SAG 49.72 showed typical threonine-phosphorylation of LHCII, whereas UWO 241 exhibited phosphorylation of polypeptides of comparable molecular mass to PSI reaction centres but the absence of LHCII phosphorylation. Thus, although both strains maintain an energy balance irrespective of their differences in optimal growth temperatures, the mechanisms used to maintain photostasis were distinct. We conclude that psychrophily in C. raudensis is complex and appears to involve differential energy partitioning, photosystem stoichiometry and polypeptide phosphorylation. (c) 2007 Elsevier B.V. All rights reserved.</t>
  </si>
  <si>
    <t>Univ Western Ontario, Dept Biol &amp; Biotron, London, ON N6A 5B7, Canada</t>
  </si>
  <si>
    <t>Western University (University of Western Ontario)</t>
  </si>
  <si>
    <t>Hüner, NPA (corresponding author), Univ Western Ontario, Dept Biol &amp; Biotron, 1151 Richmond St N, London, ON N6A 5B7, Canada.</t>
  </si>
  <si>
    <t>nhuner@uwo.ca</t>
  </si>
  <si>
    <t>Ivanov, Alexander/0000-0001-7910-5494; Ivanov, Alexander G./0000-0001-7100-9211</t>
  </si>
  <si>
    <t>0005-2728</t>
  </si>
  <si>
    <t>1879-2650</t>
  </si>
  <si>
    <t>BBA-BIOENERGETICS</t>
  </si>
  <si>
    <t>Biochim. Biophys. Acta-Bioenerg.</t>
  </si>
  <si>
    <t>10.1016/j.bbabio.2006.12.001</t>
  </si>
  <si>
    <t>184OE</t>
  </si>
  <si>
    <t>WOS:000247650500049</t>
  </si>
  <si>
    <t>Arguez, A; Waple, AM; Sanchez-Lugo, AM</t>
  </si>
  <si>
    <t>Arguez, A.; Waple, A. M.; Sanchez-Lugo, A. M.</t>
  </si>
  <si>
    <t>State of the climate in 2006</t>
  </si>
  <si>
    <t>BULLETIN OF THE AMERICAN METEOROLOGICAL SOCIETY</t>
  </si>
  <si>
    <t>SEA-SURFACE-TEMPERATURE; NINO-SOUTHERN-OSCILLATION; TROPICAL CYCLONE ACTIVITY; WESTERN NORTH PACIFIC; INDIVIDUAL AVHRR CHANNELS; HEMISPHERE SNOW EXTENT; INTERANNUAL VARIABILITY; EL-NINO; EQUATORIAL PACIFIC; HEAT-CONTENT</t>
  </si>
  <si>
    <t>The State of the Climate in 2006 report summarizes the year's weather and climate conditions, both globally and regionally. In addition, the year is placed into a long-term climatological context. Furthermore, notable events are also discussed. Overall global temperatures were fifth or sixth warmest on record, depending on the dataset, continuing an upward trend in temperatures. Many countries and regions experienced their record warmest year (or tied for warmest), including Spain, the Netherlands, the United Kingdom, and China, as well as parts of Australlia and Canada. In many regions, the warmth in 2006 is statistically indistinguishable from the record warmth in 1998. However, 1998 was influenced by the unprecedented warming associated with the record 1997/98 El Nino, whereas 2006 was marked by a 2005/06 La Nina that transitioned into a weak-to-moderate 2006/07 El Nino. Consistent with the warming, sea ice extent in both polar regions reached record or near record minima. In addition, Antarctic ozone concentrations reached an all-time minimum. Also, carbon dioxide measurements increased in the atmosphere by 2.3 parts per million (ppm) in 2006 to reach a global average of 381.1 ppm. In the global oceans, sea levels were above average for similar to 80% of the ocean. The global mean sea level anomaly change of +6 mm from 2005 was the highest increase since the altimeter record began in 1993. Relative sea level change was also the highest ever recorded. Significant heat flux and current anomalies were observed in the regions of the 2006 El Nino and Indian Ocean dipole mode event. Despite the warmth around the globe, tropical cyclone counts were near average. However, Tropical Cyclone Larry made landfall in northern Australia as one of the most intense storms in decades. Following the record Atlantic hurricane season of 2005, the 2006 season was very quiet.</t>
  </si>
  <si>
    <t>Arguez, Anthony/I-9375-2017; Meinen, Christopher S/G-1902-2012; Camargo, Suzana J./C-6106-2009; /I-6559-2012; Baringer, Molly/D-2277-2012</t>
  </si>
  <si>
    <t>Camargo, Suzana J./0000-0002-0802-5160; /0000-0002-8023-4020; Baringer, Molly/0000-0002-8503-5194</t>
  </si>
  <si>
    <t>0003-0007</t>
  </si>
  <si>
    <t>1520-0477</t>
  </si>
  <si>
    <t>B AM METEOROL SOC</t>
  </si>
  <si>
    <t>Bull. Amer. Meteorol. Soc.</t>
  </si>
  <si>
    <t>S8</t>
  </si>
  <si>
    <t>S135</t>
  </si>
  <si>
    <t>190JU</t>
  </si>
  <si>
    <t>WOS:000248055900001</t>
  </si>
  <si>
    <t>Liu, JY; Wen, JH; Wang, YF; Wang, WL; Cathso, BM; Jezek, KC</t>
  </si>
  <si>
    <t>Liu Jiying; Wen Jiahong; Wang Yafeng; Wang Weili; Cathso, Beata M.; Jezek, Kenneth C.</t>
  </si>
  <si>
    <t>Development and applications of Dome A-DEM in Antairctic ice sheet</t>
  </si>
  <si>
    <t>CHINESE GEOGRAPHICAL SCIENCE</t>
  </si>
  <si>
    <t>Dome A; ICESat GLAS; Cokriging; DEM; Antarctica</t>
  </si>
  <si>
    <t>MODEL</t>
  </si>
  <si>
    <t>Dome A, the highest dome of East Antarctic Ice Sheet, is being an area focused by international Antarctic community after Chinese Antarctic Expedition finally reached there in 2005, and with the ongoing International Polar Year (IPY) during August 2007. In this paper two data processing methods are used together to generate two 100-m cell size digital elevation models (DEMs) of the Dome A region (Dome A-DEM) by using Cokriging method to interpolate the ICESat GLAS data, with Ihde-DEM as a constraint. It provides fundamental data to glaciological and geophysical investigation in this area. The Dome A-DEM was applied to determining the ice-sheet surface elevations and coordinates of the south and north summits, defining boundaries of basins and ice flowlines, deducing subglacial topography, and mapping surface slope and aspect in Dome A region. The DEM shows there are two (north and south) summits in Dome A region. The coordinate and the surface elevation of the highest point (the north summit) are 80 degrees 21'29.86 '' S, 77 degrees 21'50.29 '' E and 4092.71 +/- 1.43m, respectively. The ice thickness and sub-ice bedrock elevation at north summit are 2420m and 1672m, respectively. Dome A region contains four drainage basins that meet together near the south summit. Ice flowlines, slope and aspect in detail are also derived using the DEM.</t>
  </si>
  <si>
    <t>[Liu Jiying; Wen Jiahong; Wang Yafeng] Shanghai Normal Univ, Dept Geog, Shanghai 200234, Peoples R China; [Wang Weili] NASA, Goddard Space Flight Ctr, SGT, Greenbelt, MD 20771 USA; [Cathso, Beata M.; Jezek, Kenneth C.] Ohio State Univ, Byrd Polar Res Ctr, Columbus, OH 43210 USA</t>
  </si>
  <si>
    <t>Shanghai Normal University; National Aeronautics &amp; Space Administration (NASA); NASA Goddard Space Flight Center; Stinger Ghaffarian Technologies, Inc. (SGT); University System of Ohio; Ohio State University</t>
  </si>
  <si>
    <t>Wen, JH (corresponding author), Shanghai Normal Univ, Dept Geog, Shanghai 200234, Peoples R China.</t>
  </si>
  <si>
    <t>jhwen@shnu.edu.cn</t>
  </si>
  <si>
    <t>liu, shanshan/JPA-0852-2023; wang, yafeng/J-4829-2017</t>
  </si>
  <si>
    <t>1002-0063</t>
  </si>
  <si>
    <t>1993-064X</t>
  </si>
  <si>
    <t>CHINESE GEOGR SCI</t>
  </si>
  <si>
    <t>Chin. Geogr. Sci.</t>
  </si>
  <si>
    <t>10.1007/s11769-007-0160-4</t>
  </si>
  <si>
    <t>284LK</t>
  </si>
  <si>
    <t>WOS:000254707700008</t>
  </si>
  <si>
    <t>Yin, CH; Yan, XD; Shi, ZG; Wang, ZM</t>
  </si>
  <si>
    <t>Yin ChongHua; Yan XiaoDong; Shi ZhengGuo; Wang ZhaoMin</t>
  </si>
  <si>
    <t>Simulation of the climatic effects of natural forcings during the pre-industrial era</t>
  </si>
  <si>
    <t>CHINESE SCIENCE BULLETIN</t>
  </si>
  <si>
    <t>medieval warm period; little ice age; solar; volcanism; simulation</t>
  </si>
  <si>
    <t>MCGILL-PALEOCLIMATE-MODEL; NORTHERN-HEMISPHERE TEMPERATURES; AVERAGED OCEAN MODEL; SEA-ICE; THERMOHALINE CIRCULATION; SOLAR IRRADIANCE; LAST MILLENNIUM; 20TH-CENTURY TEMPERATURE; GLOBAL CLIMATE; SYSTEM MODEL</t>
  </si>
  <si>
    <t>The MPM-2, an Earth system model of intermediate complexity, is employed to study the climate system response to natural forcings during the pre-industrial era (1000-1800 AD), with a special focus on the surface air temperature (SAT) evolution. Solar radiation and volcanism are the primary natural forcings during this period. In the MPM-2, the solar radiation forcing determines the long-term trend of the climate system change, and the volcanic forcing intensifies (weakens) this trend. Ultimately, the combination of solar and volcanic forcings dominates the long-term changes of the climate system. These results aro in good agreement with other model data or temperature reconstructions. Natural forcings can well explain the Little Ice Age (LIA) and the Medieval Warm Period (MWP). At the large regional scale, the SAT response to natural forcings is almost coincident with that of the Northern Hemisphere. Based on MPM-2 model results, it is concluded that the global climate gradually became cold during the pre-industrial era. However, MPM-2 model results substantially correlate with reconstructed solar and volcanic forcings. Namely, to some great extent, these results strongly rely on the forcing series data we choose. Therefore, in order to accurately simulate the secular variation of the historical climate, it is very important to reconstruct well the solar radiation change and volcanic forcing data are well reconstructed for the past 10000 years, at least for the past 2000 years, in addition to the model improvements. The sensitivity study on the abrupt solar radiation change indicates that the increased solar radiation not only strengthens the nonlinear response of SAT, but intensifies the global hydrological cycle. At the same time, the biosphere is also affected obviously.</t>
  </si>
  <si>
    <t>Chinese Acad Sci, Inst Atmospher Phys, Key Lab Climate Environm Temperate E Asia, Beijing 100029, Peoples R China; British Antarctic Survey, Cambridge CB3 0ET, England; Chinese Acad Sci, Grad Univ, Beijing 100049, Peoples R China</t>
  </si>
  <si>
    <t>Chinese Academy of Sciences; Institute of Atmospheric Physics, CAS; UK Research &amp; Innovation (UKRI); Natural Environment Research Council (NERC); NERC British Antarctic Survey; Chinese Academy of Sciences; University of Chinese Academy of Sciences, CAS</t>
  </si>
  <si>
    <t>Yan, XD (corresponding author), Chinese Acad Sci, Inst Atmospher Phys, Key Lab Climate Environm Temperate E Asia, Beijing 100029, Peoples R China.</t>
  </si>
  <si>
    <t>yxd@tea.ac.cn</t>
  </si>
  <si>
    <t>Shi, Zhengguo/F-3106-2011</t>
  </si>
  <si>
    <t>shi, zheng guo/0000-0002-6656-5675; Yan, Xiaodong/0000-0002-0774-9140</t>
  </si>
  <si>
    <t>1001-6538</t>
  </si>
  <si>
    <t>1861-9541</t>
  </si>
  <si>
    <t>CHINESE SCI BULL</t>
  </si>
  <si>
    <t>Chin. Sci. Bull.</t>
  </si>
  <si>
    <t>10.1007/s11434-007-0207-z</t>
  </si>
  <si>
    <t>183MY</t>
  </si>
  <si>
    <t>WOS:000247578100016</t>
  </si>
  <si>
    <t>Deagle, BE; Tollit, DJ</t>
  </si>
  <si>
    <t>Deagle, Bruce E.; Tollit, Dominic J.</t>
  </si>
  <si>
    <t>Quantitative analysis of prey DNA in pinniped faeces: potential to estimate diet composition?</t>
  </si>
  <si>
    <t>CONSERVATION GENETICS</t>
  </si>
  <si>
    <t>non-invasive; molecular scatology; Steller sea lion; faecal DNA; seal diet</t>
  </si>
  <si>
    <t>STELLER SEA LIONS; EUMETOPIAS-JUBATUS; PHOCA-VITULINA; SALMONID PREY; IDENTIFICATION; SAMPLES; DIVERSITY; SKELETAL</t>
  </si>
  <si>
    <t>We investigate using relative amounts of prey DNA recovered from pinniped faeces to obtain diet composition data. Faeces were obtained from captive sea lions being fed a diet containing three fish species (50%, 36% and 14% by mass). Real-time PCR was used to quantify mtDNA in undigested tissue and in the faecal samples. The percent composition of fish mtDNA extracted from tissue corresponded reasonably well to the mass of fish in the mixture. In faecal samples the absolute amount of fish mtDNA recovered varied 100-fold, but the percent composition of the samples was relatively consistent (57.5 +/- 9.3%, 19.3 +/- 6.6% and 23.2 +/- 12.2%). These results indicate there are prey-specific biases in DNA survival during digestion. However, the biases may be less than those commonly observed in conventional diet studies.</t>
  </si>
  <si>
    <t>Univ Tasmania, Sch Zool, Hobart, Tas 7000, Australia; Australian Antarctic Div, Kingston, Tas 7050, Australia; Univ British Columbia, Fisheries Ctr, Marine Mammal Res Unit, AERL, Vancouver, BC V6T 1Z4, Canada</t>
  </si>
  <si>
    <t>University of Tasmania; Australian Antarctic Division; University of British Columbia</t>
  </si>
  <si>
    <t>Deagle, BE (corresponding author), Univ Tasmania, Sch Zool, POB 252-05, Hobart, Tas 7000, Australia.</t>
  </si>
  <si>
    <t>dedeagle@utas.edu.au</t>
  </si>
  <si>
    <t>Deagle, Bruce E/A-9854-2008; Deagle, Bruce E/R-2999-2019</t>
  </si>
  <si>
    <t>Deagle, Bruce E/0000-0001-7651-3687</t>
  </si>
  <si>
    <t>1566-0621</t>
  </si>
  <si>
    <t>CONSERV GENET</t>
  </si>
  <si>
    <t>Conserv. Genet.</t>
  </si>
  <si>
    <t>10.1007/s10592-006-9197-7</t>
  </si>
  <si>
    <t>Biodiversity Conservation; Genetics &amp; Heredity</t>
  </si>
  <si>
    <t>Biodiversity &amp; Conservation; Genetics &amp; Heredity</t>
  </si>
  <si>
    <t>162QN</t>
  </si>
  <si>
    <t>WOS:000246103500023</t>
  </si>
  <si>
    <t>Nitishinsky, M; Anderson, LG; Hölemann, JA</t>
  </si>
  <si>
    <t>Nitishinsky, Miroslav; Anderson, Leif G.; Hoelemann, Jens A.</t>
  </si>
  <si>
    <t>Inorganic carbon and nutrient fluxes on the Arctic Shelf</t>
  </si>
  <si>
    <t>CONTINENTAL SHELF RESEARCH</t>
  </si>
  <si>
    <t>dissolved inorganic carbon; nutrients; CO2 exchange; spatial and temporal variability; fluxes; arctic shelf; laptev sea; east-siberian sea</t>
  </si>
  <si>
    <t>SEA</t>
  </si>
  <si>
    <t>Historic data from the Russian-American Hydrochemical Atlas of Arctic Ocean together with data from the TRANSDRIFT II 1994 and TUNDRA 1994 cruises have been used to assess the spatial and inter-annual variability of carbon and nutrient fluxes, as well as air-sea CO2 exchange in the Laptev and western East Siberian Seas during the summer season. Budget computations using summer data of dissolved inorganic phosphate (DIP), dissolved inorganic nitrogen (DIN) and dissolved inorganic carbon (DIC) gives that the Laptev Sea shelf is a net sink of DIP and DIN of 2.5 x 10(6), 23.2 x 10(6) mold(-1), respectively, while it is a net source of DIC (excluding air-sea exchange) of 1249 x 10(6) mol d(-1). In the East Siberian Seas the budget computations give 0.5 x 10(6), - 11.4 x 10(6) and - 173 x 10(6) mold(-1) (minus being a sink) for DIP, DIN, and DIC, respectively. In summers, the Laptev Sea Shelf is net autotrophic while the East-Siberian Sea Shelf is net heterotrophic, and both systems are weak net denitrifying. The Laptev Sea Shelf takes up 2.1 mmol CO2 m(-2) d(-1) from atmosphere, whereas the western part of the East-Siberian Sea Shelf loose 0.3 mmol CO2 m(-2) d(-1) to the atmosphere. The variability of DIP, DIN and DIC fluxes during summer in the different regions of the Laptev and East Siberian Seas depends on bottom topography, river runoff, exchange with surrounding seas and wind field. (c) 2007 Elsevier Ltd. All rights reserved.</t>
  </si>
  <si>
    <t>Univ Gothenburg, Dept Chem, SE-41296 Gothenburg, Sweden; Arctic &amp; Antarctic Res Inst, St Petersburg 199226, Russia; Alfred Wegener Inst Polar &amp; Marine Res, D-27568 Bremerhaven, Germany</t>
  </si>
  <si>
    <t>University of Gothenburg; Arctic &amp; Antarctic Research Institute; Helmholtz Association; Alfred Wegener Institute, Helmholtz Centre for Polar &amp; Marine Research</t>
  </si>
  <si>
    <t>Anderson, LG (corresponding author), Univ Gothenburg, Dept Chem, SE-41296 Gothenburg, Sweden.</t>
  </si>
  <si>
    <t>leifand@chem.gu.se</t>
  </si>
  <si>
    <t>Anderson, Leif G/D-2263-2009; Hoelemann, Jens/N-3608-2016</t>
  </si>
  <si>
    <t>Hoelemann, Jens/0000-0001-5102-4086</t>
  </si>
  <si>
    <t>0278-4343</t>
  </si>
  <si>
    <t>1873-6955</t>
  </si>
  <si>
    <t>CONT SHELF RES</t>
  </si>
  <si>
    <t>Cont. Shelf Res.</t>
  </si>
  <si>
    <t>10-11</t>
  </si>
  <si>
    <t>10.1016/j.csr.2007.01.019</t>
  </si>
  <si>
    <t>187LR</t>
  </si>
  <si>
    <t>WOS:000247849700013</t>
  </si>
  <si>
    <t>Kennedy, WJ; Crame, JA; Bengtson, P; Thomson, MRA</t>
  </si>
  <si>
    <t>Kennedy, W. James; Crame, J. Alistair; Bengtson, Peter; Thomson, Michael R. A.</t>
  </si>
  <si>
    <t>Coniacian ammonites from James Ross Island, Antarctica</t>
  </si>
  <si>
    <t>CRETACEOUS RESEARCH</t>
  </si>
  <si>
    <t>Cretaceous; Coniacian; ammonites; Antarctic Peninsula</t>
  </si>
  <si>
    <t>STRATIGRAPHY; BASIN</t>
  </si>
  <si>
    <t>The Cenomanian-Santonian biostratigraphy of the James Ross Basin, north-eastern Antarctic Peninsula is in need of comprehensive revision. This is being achieved by the systematic re-investigation of a series of key reference sections on the north-west coast of James Ross Island, with the first of these being located in the vicinity of Brandy Bay. A new suite of 10 ammonite taxa from the uppermost Whisky Bay and Hidden Lake Formations at this locality has overwhelming Coniacian age affinities. It comprises representatives from the Tetragonitidae and Gaudryceratidae, together with the stratigraphically earliest representative of the Kossmaticeratidae and the three earliest Pachydiscidae species from the James Ross Basin. Some fragmentary specimens are assigned to the Collignoniceratidae, and various heteromorphs to the Nostoceratidae, Diplomoceratidae and Baculitidae. The one new taxon described herein is Gaudryceras (Gaudryceras) strictum sp. nov. This ammonite fauna represents an important precursor to the much more prolific assemblages that occur in the overlying Santa Marta and Lopez de Bertodano formations (latest Coniacian-Maastrichtian). It shows some affinities to the Madagascan Coniacian ammonite fauna, and offers an opportunity for strengthening Late Cretaceous biostratigraphic correlations between the northern and southern hemispheres. (C) 2007 Elsevier Ltd. All rights reserved.</t>
  </si>
  <si>
    <t>Univ Oxford, Nat Hist Museum, Oxford OX1 3PW, England; British Antarctic Survey, Cambridge CB3 0ET, England; Geol Palaontol Inst, D-69120 Heidelberg, Germany; Thornton Rust, Leyburn DL8 3AW, Yorks, England</t>
  </si>
  <si>
    <t>University of Oxford; UK Research &amp; Innovation (UKRI); Natural Environment Research Council (NERC); NERC British Antarctic Survey</t>
  </si>
  <si>
    <t>Kennedy, WJ (corresponding author), Univ Oxford, Nat Hist Museum, Pk Rd, Oxford OX1 3PW, England.</t>
  </si>
  <si>
    <t>jim.kennedy@university-museum.oxford.ac.uk</t>
  </si>
  <si>
    <t>0195-6671</t>
  </si>
  <si>
    <t>1095-998X</t>
  </si>
  <si>
    <t>CRETACEOUS RES</t>
  </si>
  <si>
    <t>Cretac. Res.</t>
  </si>
  <si>
    <t>10.1016/j.cretres.2006.08.006</t>
  </si>
  <si>
    <t>Geology; Paleontology</t>
  </si>
  <si>
    <t>179UZ</t>
  </si>
  <si>
    <t>WOS:000247316900009</t>
  </si>
  <si>
    <t>Reuer, MK; Barnett, BA; Bender, ML; Falkowski, PG; Hendricks, MB</t>
  </si>
  <si>
    <t>Reuer, Matthew K.; Barnett, Bruce A.; Bender, Michael L.; Falkowski, Paul G.; Hendricks, Melissa B.</t>
  </si>
  <si>
    <t>New estimates of Southern Ocean biological production rates from O2/Ar ratios and the triple isotope composition of O2</t>
  </si>
  <si>
    <t>dissolved gases; oxygen isotopes; primary production; Southern Ocean</t>
  </si>
  <si>
    <t>ANTARCTIC POLAR FRONT; AUSTRALIAN SECTOR; BIOGENIC SILICA; SURFACE WATERS; ORGANIC-CARBON; PACIFIC SECTOR; GAS-EXCHANGE; OXYGEN; IRON; EXPORT</t>
  </si>
  <si>
    <t>We report O-2/Ar ratios (a constraint on net community production) and the triple isotopic composition of dissolved 02 (a constraint on gross primary production) in samples collected from the surface mixed layer on 23 Southern Ocean transits. Samples were collected at 1-2 degrees meridional resolution during the austral summer. Methodological limitations notwithstanding, the results constrain the net/gross production ratio, net O-2 production, and gross O-2 production at unprecedented resolution throughout the Southern Ocean mixed layer. Gross O-2 production rates inferred from the oxygen triple isotopes are greater than production rates calculated from a model based on remotely sensed chlorophyll. This result agrees with previous O-18 and C-14 incubations along 170 degrees W. O-2/Ar ratios exceeding saturation are consistently observed within the Subantarctic and Polar Frontal Zones south of New Zealand and Australia, showing that a net autotrophic community predominates during austral summer. Lower O-2/Ar values are observed within the Drake Passage and Antarctic Zone, suggesting unresolved influences of low net community production, net heterotrophy, and upwelling Of O-2-Undersaturated waters. In autotrophic waters of the austral summer mixed layer, ratios of net community production/gross O-2 production scatter about 0.13, corresponding to f ratios of similar to 0.25. Net cominunity/gross O-2 production ratios show no meridional gradient across the Antarctic Circumpolar Current, suggesting that an approximately constant fraction of gross primary productivity is regenerated or exported. Our calculated net O2 production rates are in satisfactory agreement with comparable published estimates. Net and gross O-2 production rates are highest in the Subantarctic and decline to the south, paralleling the well-known trend of chlorophyll a concentrations. In an analysis of variance of net O-2 production and gross 02 production with other environmental variables, the strongest correlations are between net O-2 production and sea surface temperature (SST) (direct correlation), climatological [NO3-] (inverse correlation), and estimates of primary productivity derived from a remote sensing (direct correlation). These trends are as expected if aerosol iron input is the most important influence on production. They are unexpected if upwelling-derived SiO2 and iron are the leading influence or if lower SSTs promote greater export in this region. (c) 2007 Elsevier Ltd. All rights reserved.</t>
  </si>
  <si>
    <t>Princeton Univ, Dept Geosci, Princeton, NJ 08544 USA; Rutgers State Univ, Inst Marine &amp; Coastal Sci, New Brunswick, NJ 08901 USA</t>
  </si>
  <si>
    <t>Princeton University; Rutgers University System; Rutgers University New Brunswick</t>
  </si>
  <si>
    <t>Reuer, MK (corresponding author), Princeton Univ, Dept Geosci, Guyot Hall, Princeton, NJ 08544 USA.</t>
  </si>
  <si>
    <t>mreuer@coloradocollege.edu</t>
  </si>
  <si>
    <t>10.1016/j.dsr.2007.02.007</t>
  </si>
  <si>
    <t>185MR</t>
  </si>
  <si>
    <t>WOS:000247715600007</t>
  </si>
  <si>
    <t>Mintenbeck, K; Jacob, U; Knust, R; Arntz, WE; Brey, T</t>
  </si>
  <si>
    <t>Mintenbeck, K.; Jacob, U.; Knust, R.; Arntz, W. E.; Brey, T.</t>
  </si>
  <si>
    <t>Depth-dependence in stable isotope ratio δ15N of benthic POM consumers:: The role of particle dynamics and organism trophic guild</t>
  </si>
  <si>
    <t>delta N-15 variability; suspension feeders; water depth; particulate organic matter; POM dynamics; particle settling; Antarctica Weddell Sea</t>
  </si>
  <si>
    <t>SUSPENDED PARTICULATE MATTER; WEDDELL SEA ANTARCTICA; SOUTHERN-OCEAN; FECAL PELLETS; NITRATE UTILIZATION; FEEDING-ACTIVITY; ATLANTIC SECTOR; CARBON FLUX; MARINE SNOW; DEEP-SEA</t>
  </si>
  <si>
    <t>The stable nitrogen isotope ratio (delta N-15) is an established indicator of trophic hierarchy in marine food-web studies. Most of these studies presume that spatial variation in the primary food source is negligible, although a water-depth-related increase in delta N-15 of particulate organic matter (POM) has been found in many systems. We used the high-Antarctic Weddell Sea shelf and slope ecosystem to test whether such a depth-related change in delta N-15 is reflected at higher trophic levels, i.e., benthic consumers of POM. In suspension feeders (SF) we found a significant increase in delta N-15 with water depth of up to 9.8 parts per thousand, whereas in deposit feeders (DF) a depth effect was barely detectable. Particle-size preferences of the two feeding guilds combined with particle-size-dependent sinking velocities and biogeochemical reworking of POM are discussed as the major causes of these differences. It is essential to marine food-web studies to take into account the general depth effect on POM delta N-15 as well as potential feeding-guild-specific differences in the response of POM consumer tissue delta N-15 to avoid serious bias and misinterpretation of stable-isotope-based trophic information. (c) 2007 Elsevier Ltd. All rights reserved.</t>
  </si>
  <si>
    <t>Alfred Wegener Inst Polar &amp; Marine Res, D-27515 Bremerhaven, Germany; Univ Coll Cork, Dept Zool Ecol &amp; Plant Sci, Cork, Ireland; Univ Coll Cork, Environm Res Inst, Cork, Ireland</t>
  </si>
  <si>
    <t>Helmholtz Association; Alfred Wegener Institute, Helmholtz Centre for Polar &amp; Marine Research; University College Cork; University College Cork</t>
  </si>
  <si>
    <t>Mintenbeck, K (corresponding author), Alfred Wegener Inst Polar &amp; Marine Res, POB 120161, D-27515 Bremerhaven, Germany.</t>
  </si>
  <si>
    <t>Katja.Mintenbeck@awi.de</t>
  </si>
  <si>
    <t>Jacob, Ute/F-8179-2011; Nerot, Caroline/C-6952-2009; Jacob, Ute/H-3089-2018</t>
  </si>
  <si>
    <t>Mintenbeck, Katja/0000-0002-3239-6308; Brey, Thomas/0000-0002-6345-2851</t>
  </si>
  <si>
    <t>10.1016/j.dsr.2007.03.005</t>
  </si>
  <si>
    <t>WOS:000247715600010</t>
  </si>
  <si>
    <t>Egorov, AG</t>
  </si>
  <si>
    <t>Egorov, A. G.</t>
  </si>
  <si>
    <t>The solar cycle and two regimes of long-term variations of surface air pressure in high and middle latitudes of the Northern Hemisphere in the winter period</t>
  </si>
  <si>
    <t>Egorov, AG (corresponding author), Arctic &amp; Antarctic Res Inst, Ul Beringa 38, St Petersburg 199397, Russia.</t>
  </si>
  <si>
    <t>ego@aari.nw.ru</t>
  </si>
  <si>
    <t>10.1134/S1028334X07040356</t>
  </si>
  <si>
    <t>188OU</t>
  </si>
  <si>
    <t>WOS:000247930000035</t>
  </si>
  <si>
    <t>Cawood, PA; Buchan, C</t>
  </si>
  <si>
    <t>Cawood, Peter A.; Buchan, Craig</t>
  </si>
  <si>
    <t>Linking accretionary orogenesis with supercontinent assembly</t>
  </si>
  <si>
    <t>EARTH-SCIENCE REVIEWS</t>
  </si>
  <si>
    <t>accretionary orogen; supercontinents; driving mechanisms; Gondwana; Pangea; plate reorganization</t>
  </si>
  <si>
    <t>NEW-ENGLAND OROGEN; DRONNING-MAUD-LAND; U-PB GEOCHRONOLOGY; MARIE-BYRD-LAND; SINGLE-ZIRCON EVAPORATION; MEDIAN TECTONIC ZONE; EAST-AFRICAN OROGEN; PALEOZOIC TECTONOTHERMAL EVOLUTION; CENTRAL TRANSANTARCTIC MOUNTAINS; ECLOGITE-FACIES METAMORPHISM</t>
  </si>
  <si>
    <t>Age relations for assembly of Gondwana and Pangea indicate that the timing of collisional orogenesis between amalgamating continental bodies was synchronous with subduction initiation and contractional orogenesis within accretionary orogens located along the margins of these supercontinents. Final assembly of Gondwana occurred between c.570 and 510 Ma, amalgamating the various components of East and West Gondwana. This was coeval with a switch from passive margin sedimentation to convergent margin activity along the Pacific margin of the supercontinent. Timing of subduction initiation along the Pacific margin ranges from 580 to 550 Ma as evidenced by the first appearance of are derived detrital zircons in the upper Byrd Group sediments and the oldest supra-subduction zone plutons along the Antarctic segment of the margin. A phase of extension marked by supra-subduction zone ophiolite generation at 535-520 Ma is preserved in greenstone successions in eastern Australia and overlaps the onset of Ross-Delamerian contractional orogenesis between 520 and 490 Ma, inboard of the plate margin that coincides with the cessation of collisional orogenesis between the amalgamating blocks of Gondwana. Supra-subduction zone igneous activity was continuous throughout this period indicating that subduction was ongoing. The final stages of assembly of the Pangean supercontinent occurred between c.320 and 250 Ma. Major plate boundary reorganization during this time was accompanied by regional orogenesis along the Pacific margin. The East Gondwana margin segment experienced transpressional and transtensional activity from c.305 Ma until c.270 Ma, after which convergence along the plate margin was re-established. In eastern Australia this involved a migration of arc magmatism eastward into the old subduction complex indicating a stepping out of the plate margin. Synchronous with this phase of plate re-adjustment was the Gondwanide Orogeny (305-230 Ma) affecting the entire Pacific margin of Pangea. Temporal relations across supercontinents between interior collisional and marginal accretionary orogenies suggest a linked history between interior and exterior processes perhaps related to global plate kinematic adjustments. Orogenesis in accretionary orogens occurs in the absence of colliding bodies during ongoing subduction and plate convergence and must therefore be driven by a transitory coupling across the plate boundary. Correspondence of coupling with, or immediately following, subduction initiation and plate boundary reorganization, suggests it may reflect plate re-adjustments involving a temporary phase of increased relative convergence across the plate boundary. (C) 2007 Elsevier B.V. All rights reserved.</t>
  </si>
  <si>
    <t>Univ Western Australia, Sch Earth &amp; Geog Sci, Tecton Special Res Ctr, Crawley, WA 6009, Australia; Curtin Univ Technol, Dept Appl Geol, Tecton Special Res Ctr, Perth, WA 6845, Australia</t>
  </si>
  <si>
    <t>University of Western Australia; Curtin University</t>
  </si>
  <si>
    <t>Cawood, PA (corresponding author), Univ Western Australia, Sch Earth &amp; Geog Sci, Tecton Special Res Ctr, 35 Stirling Highway, Crawley, WA 6009, Australia.</t>
  </si>
  <si>
    <t>pcawood@tsrc.uwa.edu.au; cbuchan@fugroairborne.com.au</t>
  </si>
  <si>
    <t>Cawood, Peter A/JOZ-4033-2023</t>
  </si>
  <si>
    <t>Cawood, Peter A/0000-0003-1200-3826</t>
  </si>
  <si>
    <t>0012-8252</t>
  </si>
  <si>
    <t>1872-6828</t>
  </si>
  <si>
    <t>EARTH-SCI REV</t>
  </si>
  <si>
    <t>Earth-Sci. Rev.</t>
  </si>
  <si>
    <t>10.1016/j.earscirev.2007.03.003</t>
  </si>
  <si>
    <t>186SK</t>
  </si>
  <si>
    <t>WOS:000247798300003</t>
  </si>
  <si>
    <t>Miranda, KC; Metcalfe, TL; Metcalfe, CD; Robaldo, RB; Muelbert, MMC; Colares, EP; Martinez, PE; Bianchini, A</t>
  </si>
  <si>
    <t>Miranda-Filho, Kieber C.; Metcalfe, Tracy L.; Metcalfe, Chris D.; Robaldo, Ricardo B.; Muelbert, Monica M. C.; Colares, Elton P.; Martinez, Pablo E.; Bianchini, Adalto</t>
  </si>
  <si>
    <t>Residues of persistent organochlorine contaminants in Southern elephant seals (Mirounga leonina) from Elephant Island, Antarctica</t>
  </si>
  <si>
    <t>ENVIRONMENTAL SCIENCE &amp; TECHNOLOGY</t>
  </si>
  <si>
    <t>MARINE MAMMALS; TRENDS; POLLUTANTS; DDT; TRANSPORT; PENGUINS; MILK; PREY; PUPS</t>
  </si>
  <si>
    <t>Contamination of blubber tissues by organochlorine pesticides (OC) and PCBs was assessed in female and male pups and juveniles, as well as in adult females and subdominant adult males of the Southern elephant seal, Mirounga leonina, from Elephant Island in the Antarctic Peninsula. All residues of persistent organochlorine contaminants analyzed were found in blubber samples, except for beta-HCH, endosulfan II, endrin, heptachlor, and aldrin. The relative concentrations of the analytes detected were Sigma DDT &gt; Sigma PCB &gt; Sigma chlordane &gt; mirex &gt; dieldrin &gt; HCB &gt; Sigma endosulfan &gt; methoxychlor &gt; Sigma HCHs &gt; other OC pesticides. OC and PCBs concentrations were 1 or 2 orders of magnitude lower than those found in pinnipeds from northern hemisphere. The ratio Sigma DDT/Sigma PCB was higher in southern elephant seals. The relative importance of some OC residues indicates that pesticides used either currently or in the recent past in countries in the southern hemisphere are the sources of contamination in the Antarctic region. Data showed that concentrations of contaminants generally increased from pups &lt; juveniles &lt; adults and suggested that pups accumulated contaminants through transfer from the mother seals via transplacental and lactational routes.</t>
  </si>
  <si>
    <t>Fundacao Univ Fed Rio Grande, Programa Posgrad Oceanog Biol, BR-96201900 Rio Grande, RS, Brazil; Trent Univ, Water Qual Ctr, Peterborough, ON K9J 7B8, Canada; Fundacao Univ Fed Rio Grande, Dept Ciencias Fisiol, BR-96201900 Rio Grande, RS, Brazil</t>
  </si>
  <si>
    <t>Universidade Federal do Rio Grande; Trent University; Universidade Federal do Rio Grande</t>
  </si>
  <si>
    <t>Bianchini, A (corresponding author), Fundacao Univ Fed Rio Grande, Programa Posgrad Oceanog Biol, Av Italia Km 8, BR-96201900 Rio Grande, RS, Brazil.</t>
  </si>
  <si>
    <t>adalto@octopus.furg.br</t>
  </si>
  <si>
    <t>Muelbert, Monica/T-3935-2019; , Miranda-Filho/AFM-4736-2022; Colares, Elton Pinto/I-2899-2015; Martinez, Pablo/M-4092-2019; Martínez, Pablo Elías/D-4556-2016; Bianchini, Adalto/C-5384-2013</t>
  </si>
  <si>
    <t>, Miranda-Filho/0000-0002-3026-4491; Martinez, Pablo/0000-0003-1585-6162; Bianchini, Adalto/0000-0002-7627-7650</t>
  </si>
  <si>
    <t>0013-936X</t>
  </si>
  <si>
    <t>1520-5851</t>
  </si>
  <si>
    <t>ENVIRON SCI TECHNOL</t>
  </si>
  <si>
    <t>Environ. Sci. Technol.</t>
  </si>
  <si>
    <t>10.1021/es0621187</t>
  </si>
  <si>
    <t>Engineering, Environmental; Environmental Sciences</t>
  </si>
  <si>
    <t>Engineering; Environmental Sciences &amp; Ecology</t>
  </si>
  <si>
    <t>172ZM</t>
  </si>
  <si>
    <t>WOS:000246843300004</t>
  </si>
  <si>
    <t>Khim, BK; Shim, J; Yoon, HI; Kang, YC; Jang, YH</t>
  </si>
  <si>
    <t>Khim, B. K.; Shim, J.; Yoon, H. I.; Kang, Y. C.; Jang, Y. H.</t>
  </si>
  <si>
    <t>Lithogenic and biogenic particle deposition in an Antarctic coastal environment (Marian Cove, King George Island): Seasonal patterns from a sediment trap study</t>
  </si>
  <si>
    <t>sediment trap; meltwater; lithogenic particle; phytoplankton; diatom; Marian Cove; Antarctic</t>
  </si>
  <si>
    <t>WESTERN BRANSFIELD STRAIT; SOUTH-SHETLAND-ISLANDS; ORGANIC-CARBON; MCMURDO-SOUND; MAXWELL-BAY; PARTICULATE MATTER; ACCUMULATION RATES; ORKNEY ISLANDS; AUSTRAL SUMMER; SIGNY ISLAND</t>
  </si>
  <si>
    <t>Particulate suspended material was recovered over a 23-month period using two sediment traps deployed in shallow water (similar to 30 m deep) off the King Sejong Station located in Marian Cove of King George Island, West Antarctica. Variability in seasonal flux and geochemical characteristics of the sediment particles highlights seasonal patterns of sedimentation of both lithogenic (terrigenous) and biogenic particles in the coastal glaciomarine environment. All components including total mass flux, lithogenic particle flux and biogenic particle flux show distinct seasonal variation, with high recovery rates during the summer and low rates under winter fast ice. The major contributor to total mass flux is the lithogenic component, comprising from 88% during the summer months (about 21 g m(-2) d(-1)) up to 97% during the winter season (about 2 g m(-2) d(-1)). The lithogenic particle flux depends mainly on the amount of snow-melt (snow accumulation) delivered into the coastal region as well as on the resuspension of sedimentary materials. These fine-grained lithogenic particles are silt-to-clay sized, composed mostly of clay minerals weathered on King George Island. Biogenic particle flux is also seasonal. Winter flux is similar to 0.2 g m(-2) d(-1), whereas the summer contribution increases more than tenfold, up to 2.6 g m(-2) d(-1). Different biogenic flux between the two summers indicates inter-annual variability to the spring-summer phytoplankton bloom. The maximum of lithogenic particle flux occurs over a short period of time, and follows the peak of biogenic particle flux, which lasts longer. The seasonal warming and sea-ice retreat result in change in seawater nutrient status and subsequent ice-edge phytoplankton production. Meanwhile, the meltwater input to Marian Cove from the coastal drainage in January to February plays a major role in transporting lithogenic particles into the shallow water environment, although the tidal currents may be the main agents of resuspension in this kind of sheltered bay. (C) 2007 Elsevier Ltd. All rights reserved.</t>
  </si>
  <si>
    <t>Pusan Natl Univ, Div Earth Environm Syst, Pusan 609735, South Korea; Korea Ocean Res &amp; Dev Inst, Ocean Climate &amp; Environm Res Div, Ansan 426744, South Korea; Korea Polar Res Inst, Polar Environm Res Div, Inchon 406840, South Korea</t>
  </si>
  <si>
    <t>Pusan National University; Korea Institute of Ocean Science &amp; Technology (KIOST); Korea Polar Research Institute (KOPRI); Korea Institute of Ocean Science &amp; Technology (KIOST)</t>
  </si>
  <si>
    <t>Khim, BK (corresponding author), Pusan Natl Univ, Div Earth Environm Syst, Pusan 609735, South Korea.</t>
  </si>
  <si>
    <t>bkkhim@pusan.ac.kr</t>
  </si>
  <si>
    <t>Shim, JeongHee/0000-0003-0699-9145</t>
  </si>
  <si>
    <t>ACADEMIC PRESS LTD ELSEVIER SCIENCE LTD</t>
  </si>
  <si>
    <t>10.1016/j.ecss.2006.12.015</t>
  </si>
  <si>
    <t>174AE</t>
  </si>
  <si>
    <t>WOS:000246912800012</t>
  </si>
  <si>
    <t>Gajananda, K</t>
  </si>
  <si>
    <t>Gajananda, K.</t>
  </si>
  <si>
    <t>Soil organic carbon and microbial activity: east Antarctica</t>
  </si>
  <si>
    <t>EUROPEAN JOURNAL OF SOIL SCIENCE</t>
  </si>
  <si>
    <t>TAYLOR VALLEY; DEHYDROGENASE-ACTIVITY; COMMUNITY STRUCTURE; BIOMASS; MATTER; ECOSYSTEM; IMPACTS</t>
  </si>
  <si>
    <t>Schirmacher oasis (SO) (70 degrees 46'04''S to 70 degrees 44'24''S; 11 degrees 49'54''[+/- 48]E to 11 degrees 26'03''[+/- 02]E), one of the smallest oases in Antarctica, is situated on Dronning Maud Land, which is about 70 km south of the Princess Astrid Coast of east Antarctica. This oasis is a small rocky moraine, surrounded by the vast polar ice cap and Antarctic ice shelf. It represents cold desert conditions, devoid of any higher plant and animal life, except for a few patches of microbiotic crusts in some suitable niches. Melted water from glaciers, ice and snow produces about 30 fresh water lakes and many streams, which supply essential nutrients to the autotrophs (algae, mosses and lichens). Between 30 December 1999 and 29 January 2000, soil samples were collected from 14 sparsely vegetated sites to study the soils and ecology over this oasis. Bio-physicochemical parameters, organic carbon and microbial activities (dehydrogenase) of the soils were determined. The average surface air temperature and wind velocities during the sampling period were -0.87 degrees C and 4.3 m s(-1). The average pH, plant biomass (standing crops) and moisture content were 7.5, 22.5 g m(-2) and 375.4%. Total organic carbon (TOC) contents of the soil samples ranged from 1.16 to 2.58% and the mean value was 1.58%. Dehydrogenase activity (DHA) was low and the average was 0.008 mg Triphenyl formazan (TPF) g soil(-1) day(-1). The low DHA in SO suggests that anaerobic oxidation of organic C is poor. TOC and DHA are negatively correlated with plant biomass (r = -0.14, P = 0.62 and r = -0.21, P = 0.48). The organic C and microbial activities are dependent on the amount of the autotrophic productivity and abundances. TOC correlated significantly with DHA (r = 0.85, P &lt; 0.001), which indicates that organic C is an important factor in controlling the development of DHA in the SO. The averaged bio-physicochemical data in the oasis do not deviate much from the respective mean values and the TOC is expected to remain in the range of 1-2%; however, a small change in human activity is likely to cause long-term impacts in this pristine ecosystem.</t>
  </si>
  <si>
    <t>Shriram Inst Ind Res, Environm Protect Div, Delhi 110007, India</t>
  </si>
  <si>
    <t>Gajananda, K (corresponding author), Shriram Inst Ind Res, Environm Protect Div, 19 Univ Rd, Delhi 110007, India.</t>
  </si>
  <si>
    <t>gajkh@yahoo.com</t>
  </si>
  <si>
    <t>Gajananda, Khwairakpam/AAG-2338-2020</t>
  </si>
  <si>
    <t>1351-0754</t>
  </si>
  <si>
    <t>1365-2389</t>
  </si>
  <si>
    <t>EUR J SOIL SCI</t>
  </si>
  <si>
    <t>Eur. J. Soil Sci.</t>
  </si>
  <si>
    <t>10.1111/j.1365-2389.2006.00857.x</t>
  </si>
  <si>
    <t>Soil Science</t>
  </si>
  <si>
    <t>Agriculture</t>
  </si>
  <si>
    <t>167CG</t>
  </si>
  <si>
    <t>WOS:000246427800015</t>
  </si>
  <si>
    <t>Lo Giudice, A; Brilli, M; Bruni, V; De Domenico, M; Fani, R; Michaud, L</t>
  </si>
  <si>
    <t>Lo Giudice, Angelina; Brilli, Matteo; Bruni, Vivia; De Domenico, Maria; Fani, Renato; Michaud, Luigi</t>
  </si>
  <si>
    <t>Bacterium-bacterium inhibitory interactions among psychrotrophic bacteria isolated from Antarctic seawater (Terra Nova Bay, Ross Sea)</t>
  </si>
  <si>
    <t>Antarctica; psychrotrophic bacteria; antagonism; seawater; plasmid incidence</t>
  </si>
  <si>
    <t>GERMAN WADDEN SEA; MARINE-BACTERIA; PSEUDOALTEROMONAS-TUNICATA; ANTAGONISTIC INTERACTIONS; MATTER COMPOSITION; ROSEOBACTER CLADE; PELAGIC BACTERIA; ICE; MICROORGANISMS; ARTHROBACTER</t>
  </si>
  <si>
    <t>One hundred and forty bacteria isolated from Antarctic seawater samples were examined for their ability to inhibit the growth of indigenous isolates and their sensitivity to antibacterial activity expressed by one another. On the basis of 16S rRNA gene sequencing and analysis, bacterial isolates were assigned to five phylogenetically different taxa, Actinobacteria, alpha and gamma subclasses of Proteobacteria, Bacillaceae, and Bacteroidetes. Twenty-one isolates (15%), predominantly Actinobacteria, exhibited antagonistic properties against marine bacteria of Antarctic origin. Members of Bacteroidetes and Firmicutes did not show any inhibitory activity. Differences were observed among inhibition patterns of single isolates, suggesting that their activity was more likely strain-specific rather than dependent on phylogenetic affiliation. A novel analysis based on network theory confirmed these results, showing that the structure of this population is probably robust to perturbations, but also that it depends strongly on the most active strains. The determination of plasmid incidence in the bacterial strains investigated revealed that there was no correlation between their presence and the antagonistic activity. The data presented here provide evidence for the antagonistic interactions within bacterial strains inhabiting Antarctic seawater and suggest the potential exploitation of Antarctic bacteria as a novel source of antibiotics.</t>
  </si>
  <si>
    <t>Univ Messina, DBAEM, I-98166 Messina, Italy; Univ Florence, Dept Anim Biol &amp; Genet, Florence, Italy</t>
  </si>
  <si>
    <t>University of Messina; University of Florence</t>
  </si>
  <si>
    <t>Lo Giudice, A (corresponding author), Univ Messina, DBAEM, Salita Sperone 31, I-98166 Messina, Italy.</t>
  </si>
  <si>
    <t>alogiudice@unime.it</t>
  </si>
  <si>
    <t>Brilli, Matteo/F-4674-2011</t>
  </si>
  <si>
    <t>Brilli, Matteo/0000-0001-9891-4617</t>
  </si>
  <si>
    <t>10.1111/j.1574-6941.2007.00300.x</t>
  </si>
  <si>
    <t>171BB</t>
  </si>
  <si>
    <t>WOS:000246708800005</t>
  </si>
  <si>
    <t>Newsham, KK; Garstecki, T</t>
  </si>
  <si>
    <t>Newsham, K. K.; Garstecki, T.</t>
  </si>
  <si>
    <t>Interactive effects of warming and species loss on model Antarctic microbial food webs</t>
  </si>
  <si>
    <t>FUNCTIONAL ECOLOGY</t>
  </si>
  <si>
    <t>ammonium; bacterivorous flagellates; complementarity; productivity; sampling effect</t>
  </si>
  <si>
    <t>TEMPORAL PLANKTON DYNAMICS; ECOSYSTEM FUNCTION; PLANT DIVERSITY; BIODIVERSITY; PRODUCTIVITY; EXTINCTION; COMMUNITY</t>
  </si>
  <si>
    <t>1. Predicting the effects of warming and species loss on ecosystems are two significant challenges currently facing ecologists. However, little is known of the interactive effects of these two factors. We hence tested whether or not warming and species loss interact to influence productivity and dissolved nitrogen concentrations in model Antarctic microbial food webs. Food webs, consisting of a uniform bacterial community and mixtures of six, four, two and zero bacterivorous flagellate species, drawn randomly from a pool of six flagellate species isolated from an Antarctic freshwater lake, were grown in soil extract suspension medium held in microcosms for 252 h. Half of the microcosms were kept at 4 degrees C and half were warmed to 8 degrees C over the first 36 h and then held at this temperature. 2. After 252 h there were significant interactive effects of flagellate species loss and warming on the abundance of bacterial prey and the concentration of ammonium in the medium: bacterial abundances were reduced by 75% and NH4-N concentrations were doubled in mixtures inoculated with six and four flagellate species, compared with those inoculated with two species, but only in warmed microcosms. This difference in response was apparently largely owing to the absence of Bodo saltans and Spumella putida, species with high grazing activities and growth rates, from most replicates of the warmed two species mixtures. 3. Evidence for an apparent complementarity effect was also found, with B. saltans and Spongomonas uvella growing more rapidly at 4 degrees C in mixtures of six species than in those of four species. 4. Data from a separate experiment, in which the flagellate species were grown in single-species culture under food-saturated conditions, confirmed that the logarithmic growth rates of B. saltans and S. putida were the highest of each of the six species at both 4 degrees C and 8 degrees C. 5. We broadly conclude from our data that random species loss from food webs or communities is likely to alter their responses to environmental change, largely owing to interspecific differences in responses to change.</t>
  </si>
  <si>
    <t>Newsham, KK (corresponding author), British Antarctic Survey, NERC, Cambridge CB3 0ET, England.</t>
  </si>
  <si>
    <t>Newsham, Kevin K/C-4192-2011</t>
  </si>
  <si>
    <t>NERC [bas010007, bas010020] Funding Source: UKRI; Natural Environment Research Council [bas010020, bas010007] Funding Source: researchfish</t>
  </si>
  <si>
    <t>0269-8463</t>
  </si>
  <si>
    <t>1365-2435</t>
  </si>
  <si>
    <t>FUNCT ECOL</t>
  </si>
  <si>
    <t>Funct. Ecol.</t>
  </si>
  <si>
    <t>10.1111/j.1365-2435.2007.01250.x</t>
  </si>
  <si>
    <t>171AV</t>
  </si>
  <si>
    <t>WOS:000246708200021</t>
  </si>
  <si>
    <t>Lewis-Jones, H</t>
  </si>
  <si>
    <t>Lewis-Jones, Huw</t>
  </si>
  <si>
    <t>Scott of the Antarctic: A life of courage and tragedy in the extreme south</t>
  </si>
  <si>
    <t>GEOGRAPHICAL JOURNAL</t>
  </si>
  <si>
    <t>Book Review</t>
  </si>
  <si>
    <t>Univ Cambridge, Scott Polar Res Inst, Cambridge CB2 1TN, England</t>
  </si>
  <si>
    <t>University of Cambridge</t>
  </si>
  <si>
    <t>Lewis-Jones, H (corresponding author), Univ Cambridge, Scott Polar Res Inst, Cambridge CB2 1TN, England.</t>
  </si>
  <si>
    <t>0016-7398</t>
  </si>
  <si>
    <t>GEOGR J</t>
  </si>
  <si>
    <t>Geogr. J.</t>
  </si>
  <si>
    <t>10.1111/j.1475-4959.2007.00244_1.x</t>
  </si>
  <si>
    <t>182AE</t>
  </si>
  <si>
    <t>WOS:000247476700008</t>
  </si>
  <si>
    <t>Mackintosh, A; White, D; Fink, D; Gore, DB; Pickard, J; Fanning, PC</t>
  </si>
  <si>
    <t>Mackintosh, Andrew; White, Duanne; Fink, David; Gore, Damian B.; Pickard, John; Fanning, Patricia C.</t>
  </si>
  <si>
    <t>Exposure ages from mountain dipsticks in Mac. Robertson Land, East Antarctica, indicate little change in ice-sheet thickness since the Last Glacial Maximum</t>
  </si>
  <si>
    <t>East Antarctic Ice Sheet; Last Glacial Maximum; exposure dating; sea level; ice-sheet model; meltwater pulse 1A</t>
  </si>
  <si>
    <t>SEA-LEVEL; HISTORY; DEGLACIATION; RETREAT; HILLS</t>
  </si>
  <si>
    <t>Past changes in East Antarctic Ice Sheet (EAIS) volume are poorly known and difficult to measure, yet are critical for predicting the response of the ice sheet to modern climate change. In particular, it is important to identify the sources of sea-level rise since the Last Glacial Maximum (LGM), and ascertain the present-day stability of the world's largest ice sheet. We present altitudinal transects of Be-10 and Al-26 exposure ages across the Framnes Mountains in Mac. Robertson Land that allow the magnitude and timing of EAIS retreat to be quantified. Our data show that the coastal EAIS thinned by at most 350 m in this region during the past 13 k.y. This reduction in ice-sheet volume occurred over a similar to 5 k.y. period, and the present ice-sheet profile was attained ca. 7 ka, in contrast to the West Antarctic Ice Sheet, which continues to retreat today. Combined with regional offshore and terrestrial geologic evidence, our data suggest that the reduction in EAIS volume since the LGM was smaller than that indicated by contemporary ice-sheet models and added little meltwater to the global oceans. Stability of the ice margin since the middle Holocene provides support for the hypothesis that EAIS volume changes are controlled by growth and decay of Northern Hemisphere ice sheets and associated global sea-level changes.</t>
  </si>
  <si>
    <t>Victoria Univ Wellington, Sch Geog Environm &amp; Earth Sci, Wellington 6140, New Zealand; Victoria Univ Wellington, Antarctic Res Ctr, Wellington 6140, New Zealand; Macquarie Univ, Dept Phys Geog, Sydney, NSW 2109, Australia; Australian Nucl Sci &amp; Technol Org, Sydney, NSW 2234, Australia; Macquarie Univ, Grad Sch Environm, Sydney, NSW 2109, Australia</t>
  </si>
  <si>
    <t>Victoria University Wellington; Victoria University Wellington; Macquarie University; Australian Nuclear Science &amp; Technology Organisation; Macquarie University</t>
  </si>
  <si>
    <t>Mackintosh, A (corresponding author), Victoria Univ Wellington, Sch Geog Environm &amp; Earth Sci, POB 600, Wellington 6140, New Zealand.</t>
  </si>
  <si>
    <t>Andrew.Mackintosh@vuw.ac.nz</t>
  </si>
  <si>
    <t>White, Duanne A/E-6919-2012; fink, David/A-9518-2012</t>
  </si>
  <si>
    <t>fink, David/0000-0001-7156-4602; Gore, Damian/0000-0002-0377-8518; White, Duanne/0000-0003-0740-2072; Mackintosh, Andrew/0000-0002-6430-4711</t>
  </si>
  <si>
    <t>GEOLOGICAL SOC AMERICA, INC</t>
  </si>
  <si>
    <t>10.1130/G23503A.1</t>
  </si>
  <si>
    <t>184GD</t>
  </si>
  <si>
    <t>WOS:000247628200018</t>
  </si>
  <si>
    <t>Kleimenova, NG; Kozyreva, OV</t>
  </si>
  <si>
    <t>Kleimenova, N. G.; Kozyreva, O. V.</t>
  </si>
  <si>
    <t>ELF polar chorus and magnetic storms</t>
  </si>
  <si>
    <t>LATITUDE; CUSP; EMISSIONS; BOUNDARY</t>
  </si>
  <si>
    <t>The data of continuous observations of ELF emissions ( polar chorus) at South Pole Antarctic observatory (Phi = -74.02 degrees) for 1997-1999 and during the superstrong magnetic storms of October and November 2003 are analyzed. It has been established that an increase in polar chorus is as a rule observed during the initial and recovery phases of a magnetic storm at positive values of the IMF vertical component (IMF B-z &gt; 0). Under such conditions, South Pole is located in the region of closed field lines. It has been found that the generation of polar chorus at South Pole abruptly ceases during the storm main phase after the IMF B-z southward turning and beginning of an intense substorm in the nightside auroral zone, probably, because this observatory appears in the region of projection of the open magnetosphere due to the expansion of the polar cap.</t>
  </si>
  <si>
    <t>Russian Acad Sci, Schmidt Inst Phys Earth, Moscow 123995, Russia</t>
  </si>
  <si>
    <t>Russian Academy of Sciences; Schmidt Institute of Physics of the Earth of the Russian Academy of Sciences</t>
  </si>
  <si>
    <t>Kleimenova, NG (corresponding author), Russian Acad Sci, Schmidt Inst Phys Earth, Bolshaya Gruzinskaya Ul, Moscow 123995, Russia.</t>
  </si>
  <si>
    <t>10.1134/S0016793207030097</t>
  </si>
  <si>
    <t>202BZ</t>
  </si>
  <si>
    <t>WOS:000248878000009</t>
  </si>
  <si>
    <t>Tovar-Sanchez, A; Duarte, CM; Hernández-León, S; Sañudo-Wilhelmy, SA</t>
  </si>
  <si>
    <t>Tovar-Sanchez, A.; Duarte, C. M.; Hernandez-Leon, S.; Sanudo-Wilhelmy, S. A.</t>
  </si>
  <si>
    <t>Krill as a central node for iron cycling in the Southern Ocean</t>
  </si>
  <si>
    <t>ANTARCTIC KRILL; EUPHAUSIA-SUPERBA; SEA; ZOOPLANKTON; ECOSYSTEMS; EXCRETION; DISCOVERY; BEHAVIOR; AMMONIA; PELLETS</t>
  </si>
  <si>
    <t>In order to establish the potential role of Antarctic krill ( Euphausia superba) in the recycling of bioactive elements, we have quantified the release of iron, phosphate, and ammonia by these organisms along the Antarctic Peninsula sector of the Southern Ocean. The experimental results suggested that the presence of krill has a significant impact on ambient iron concentrations, as large amounts of this trace element were released by the krill ( 22 - 689 nmol Fe g Dry Weight(-1) h(-1), equivalent to 0.2 to 4.3 nmol Fe L-1 d(-1)). Half of this iron release occurred within the first hour of the experiment, and differences in iron and phosphate release rates (3.1 to 14.0 mu mol PO43- g DW-1 h(-1)) seemed to reflect differences in food availability. These results identify krill as a major node in iron cycling in the Southern Ocean, potentially influencing iron residence time in the upper water column of this region.</t>
  </si>
  <si>
    <t>Univ Islas Baleares, CSIC, Inst Mediterraneo Estudios Avanzados, E-07190 Esporles, islas Baleares, Spain; Univ Las Palmas Gran Canaria, Fac Ciencias Mar, E-35017 Las Palmas Gran Canaria, Spain; Univ So Calif, Dept Biol Sci, Los Angeles, CA 90089 USA</t>
  </si>
  <si>
    <t>Universitat de les Illes Balears; Consejo Superior de Investigaciones Cientificas (CSIC); Universidad de Las Palmas de Gran Canaria; University of Southern California</t>
  </si>
  <si>
    <t>Tovar-Sanchez, A (corresponding author), Univ Islas Baleares, CSIC, Inst Mediterraneo Estudios Avanzados, Miquel Marques 21, E-07190 Esporles, islas Baleares, Spain.</t>
  </si>
  <si>
    <t>antonio.tovar@uib.es</t>
  </si>
  <si>
    <t>Duarte, Carlos M/A-7670-2013; Hernández-León, Santiago/M-2563-2014; Tovar-Sánchez, Antonio/B-8003-2010; Duarte Quesada, Carlos Manuel/ABD-6208-2021</t>
  </si>
  <si>
    <t>Duarte, Carlos M/0000-0002-1213-1361; Tovar-Sanchez, Antonio/0000-0003-4375-1982; Hernandez-Leon, Santiago/0000-0002-3085-4969</t>
  </si>
  <si>
    <t>L11601</t>
  </si>
  <si>
    <t>10.1029/2006GL029096</t>
  </si>
  <si>
    <t>174KC</t>
  </si>
  <si>
    <t>WOS:000246939800002</t>
  </si>
  <si>
    <t>Sever, M</t>
  </si>
  <si>
    <t>Sever, Megan</t>
  </si>
  <si>
    <t>Antarctic ice may be grinding to a halt</t>
  </si>
  <si>
    <t>GEOTIMES</t>
  </si>
  <si>
    <t>AMER GEOLOGICAL INST</t>
  </si>
  <si>
    <t>4220 KING ST, ALEXANDRIA, VA 22302-1507 USA</t>
  </si>
  <si>
    <t>0016-8556</t>
  </si>
  <si>
    <t>Geotimes</t>
  </si>
  <si>
    <t>178VU</t>
  </si>
  <si>
    <t>WOS:000247249000012</t>
  </si>
  <si>
    <t>Zacher, K; Wulff, A; Molis, M; Hanelt, D; Wiencke, C</t>
  </si>
  <si>
    <t>Zacher, Katharina; Wulff, Angela; Molis, Markus; Hanelt, Dieter; Wiencke, Christian</t>
  </si>
  <si>
    <t>Ultraviolet radiation and consumer effects on a field-grown intertidal macroalgal assemblage in Antarctica</t>
  </si>
  <si>
    <t>GLOBAL CHANGE BIOLOGY</t>
  </si>
  <si>
    <t>Antarctica; diversity; grazing; hard bottom community; King George Island; macroalgal recruitment; ozone depletion; UV radiation</t>
  </si>
  <si>
    <t>KING GEORGE ISLAND; UV-RADIATION; DEPTH DISTRIBUTION; DEVELOPMENTAL-STAGES; COMMUNITY; PHOTOSYNTHESIS; SENSITIVITY; ZOOSPORES; OZONE; REPRODUCTION</t>
  </si>
  <si>
    <t>Ultraviolet radiation (UVR) research on marine macroalgae has hithero focussed on physiological effects at the organism level, while little is known on the impact of UV radiation on macroalgal assemblages and even less on interactive effects with other community drivers, e.g. consumers. Field experiments on macrobenthos are scarce, particularly in the Antarctic region. Therefore, the effects of UVR and consumers (mainly limpets were excluded) on early successional stages of a hard bottom macroalgal community on King George Island, Antarctica, were studied. In a two-factorial design experimental units [(1) ambient radiation, 280-700 nm; (2) ambient minus UVB, 320-700 nm and (3) ambient minus UVR, 400-700 nm vs. consumer-no consumer] were installed between November 2004 and March 2005 (n = 4 plus controls). Dry mass, species richness, diversity and composition of macroalgal assemblages developing on ceramic tiles were followed. Consumers significantly suppressed green algal recruits and total algal biomass but increased macroalgal richness and diversity. Both UVA and UVB radiation negatively affected macroalgal succession. UVR decreased the density of Monostroma hariotii germlings in the first 10 weeks of the experiment, whereas the density of red algal recruits was significantly depressed by UVR at the end of the study. After 106 days macroalgal diversity was significantly higher in UV depleted than in UV-exposed assemblages. Furthermore, species richness was significantly lower in the UV treatments and species composition differed significantly between the UV-depleted and the UV-exposed treatment. Marine macroalgae are very important primary producers in coastal ecosystems, serving as food for herbivores and as habitat for many organisms. Both, UVR and consumers significantly shape macroalgal succession in the Antarctic intertidal. Consumers, particularly limpets can mediate negative effects of ambient UVR on richness and diversity till a certain level. UVB radiation in general and an increase of this short wavelength due to stratospheric ozone depletion in particular may have the potential to affect the zonation, composition and diversity of Antarctic intertidal seaweeds altering trophic interactions in this system.</t>
  </si>
  <si>
    <t>Alfred Wegener Inst Polar &amp; Marine Res, D-27570 Bremerhaven, Germany; Univ Gothenburg, Dept Marine Ecol, SE-40530 Gothenburg, Sweden; Alfred Wegener Inst Polar &amp; Marine Res, Biol Stn Helgoland, D-27498 Helgoland, Germany; Univ Hamburg, Bioctr Klein Flottbek, D-22609 Hamburg, Germany</t>
  </si>
  <si>
    <t>Helmholtz Association; Alfred Wegener Institute, Helmholtz Centre for Polar &amp; Marine Research; University of Gothenburg; Helmholtz Association; Alfred Wegener Institute, Helmholtz Centre for Polar &amp; Marine Research; University of Hamburg</t>
  </si>
  <si>
    <t>Zacher, K (corresponding author), Alfred Wegener Inst Polar &amp; Marine Res, Handelshafen 12, D-27570 Bremerhaven, Germany.</t>
  </si>
  <si>
    <t>katharina.zacher@awi.de</t>
  </si>
  <si>
    <t>1354-1013</t>
  </si>
  <si>
    <t>GLOBAL CHANGE BIOL</t>
  </si>
  <si>
    <t>Glob. Change Biol.</t>
  </si>
  <si>
    <t>10.1111/j.1365-2486.2007.01349.x</t>
  </si>
  <si>
    <t>178NB</t>
  </si>
  <si>
    <t>WOS:000247226300009</t>
  </si>
  <si>
    <t>Novis, PM; Whitehead, D; Gregorich, EG; Hunt, JE; Sparrow, AD; Hopkins, DW; Elberling, B; Greenfield, LG</t>
  </si>
  <si>
    <t>Novis, Phil M.; Whitehead, David; Gregorich, Ed G.; Hunt, John E.; Sparrow, Ashley D.; Hopkins, David W.; Elberling, Bo; Greenfield, Laurie G.</t>
  </si>
  <si>
    <t>Annual carbon fixation in terrestrial populations of Nostoc commune (Cyanobacteria) from an Antarctic dry valley is driven by temperature regime</t>
  </si>
  <si>
    <t>climate; cyanobacterial mats; modelling; photosynthesis; physiology; polar biology; respiration; soil</t>
  </si>
  <si>
    <t>BENTHIC MICROBIAL MATS; LAND STREAMS ANTARCTICA; NET PRIMARY PRODUCTION; SOIL ORGANIC-MATTER; VICTORIA LAND; TAYLOR VALLEY; ICE SHELF; PHOTOSYNTHESIS; DESICCATION; LAKE</t>
  </si>
  <si>
    <t>Nostoc commune Vaucher (a cyanobacterium) is a very conspicuous terrestrial primary producer in Victoria Land, continental Antarctica. Because polar ecosystems are considered to be especially sensitive to environmental changes, understanding the environmental constraints on net carbon (C) fixation by N. commune is necessary to determine the effects of environmental changes on the ecological functioning of ice-free areas of the continent. A model describing net C fixation in terrestrial populations of N. commune in an Antarctic dry valley was constructed using field and laboratory measurements in which N. commune colonies were exposed to different combinations of incident irradiance (400-700 nm), temperature, and degree of desiccation. For desiccated N. commune mats with water content &lt;= 30% saturation, net C fixation was highly variable between replicates and could not be modelled. However, for colonies at &gt; 30% saturation, rates of net C fixation and dark respiration depended strongly on irradiance and temperature. Net C fixation reached a maximum rate of 21.6 mu g C m (- 2) s (- 1) at irradiance of approximately 250 mu mol m (- 2) s(- 1) and the optimum temperature of 20.5 degrees C. Agreement between predicted short-term net C fixation and field and laboratory measurements allowed estimation of total seasonal fixation, using previously published environmental data. Annual net C fixation was estimated in the range 14.5-21.0 g C fixed m (- 2) Nostoc mat, depending on year/season. Estimates for different seasons correlated with thermal time (accumulated hours above 0 degrees C during the year) rather than irradiance, in contrast to communities in local lacustrine environments, where irradiance is the main driver of primary productivity. In the terrestrial habitat, N. commune appears to compromise between an ability to capitalize on short periods of higher temperature and efficient utilization of lower irradiance at low temperature. The relationship between thermal time and net annual C fixation by N. commune is strongly linear.</t>
  </si>
  <si>
    <t>Landcare Res, Lincoln 7640, New Zealand; Agr &amp; Agri Food Canada, Cent Expt Farm, Ottawa, ON K1A 0C6, Canada; Univ Canterbury, Sch Biol Sci, Christchurch, New Zealand; Univ Nevada, Dept Nat Resources &amp; Environm Sci, Reno, NV 89512 USA; Univ Stirling, Sch Biol &amp; Environm Sci, Stirling FK9 4LA, Scotland; Univ Copenhagen, Dept Geog &amp; Geol, DK-1350 Copenhagen K, Denmark</t>
  </si>
  <si>
    <t>Landcare Research - New Zealand; Agriculture &amp; Agri Food Canada; University of Canterbury; Nevada System of Higher Education (NSHE); University of Nevada Reno; University of Stirling; University of Copenhagen</t>
  </si>
  <si>
    <t>Novis, PM (corresponding author), Landcare Res, POB 40, Lincoln 7640, New Zealand.</t>
  </si>
  <si>
    <t>novisp@landcareresearch.co.nz</t>
  </si>
  <si>
    <t>Sparrow, Ashley/D-7872-2011; Hunt, John/AAX-6121-2020; Gregorich, Edward G./J-9785-2012; Sparrow, Ashley/AAD-7709-2020; Elberling, Bo/M-4000-2014</t>
  </si>
  <si>
    <t>Sparrow, Ashley/0000-0003-0388-8255; Novis, Phil/0000-0002-8802-4984; Gregorich, Edward/0000-0003-3652-2946; Hunt, John/0000-0002-8966-8773; Elberling, Bo/0000-0002-6023-885X; Hopkins, David/0000-0003-0953-8643</t>
  </si>
  <si>
    <t>1365-2486</t>
  </si>
  <si>
    <t>10.1111/j.1365-2486.2007.01354.x</t>
  </si>
  <si>
    <t>WOS:000247226300011</t>
  </si>
  <si>
    <t>Veit-Köhler, G; Fuentes, V</t>
  </si>
  <si>
    <t>Veit-Koehler, Gritta; Fuentes, Veronica</t>
  </si>
  <si>
    <t>A new pelagic Alteutha (Copepoda: Harpacticoida) from Potter Cove, King George Island, Antarctica -: description, ecology and information on its year round distribution</t>
  </si>
  <si>
    <t>plankton survey; shallow water; sea ice; taxonomy; ecology; Peltidiidae; generation time</t>
  </si>
  <si>
    <t>WEDDELL SEA; COMMUNITY STRUCTURE; PELTIDIIDAE COPEPODA; SOUTH GEORGIA; ZOOPLANKTON; ICE; MEIOFAUNA; ABUNDANCE; BAY; STORMS</t>
  </si>
  <si>
    <t>A new harpacticoid copepod species was found during a year round plankton survey in a shallow Antarctic bay. Both the dominant Calanoida and Cyclopoida and the often neglected Harpacticoida, their abundances in relation to sea-ice formation and decline in presence of Euphausia superba are regarded, in this study. Alteutha potter sp. n. (Peltidiidae) was collected in Potter Cove, King George Island, Antarctica. While its geographical region occurrence and planktonic life style are comparable to many of its congeners, morphological characters such as shape and setation of the maxilliped and the almost complete fusion of the baseoendopod and the exopod of the fifth leg in the female are described for the first time for this genus. Morphological peculiarities such as the lack, the deformation or fusion of setae on only one body side have been detected in several specimens. This copepod species is obviously sea-ice related. Its abundances in the plankton reached a maximum under the winter sea-ice. The year round population structure did not show very high variability whereas ovigerous females mostly occurred in spring and summer. Assuming different possible ecological strategies and environmental temperatures generation times between 46 and 77 days are calculated for A. potter sp. n.</t>
  </si>
  <si>
    <t>Deutsch Zentrum Marine Biodiversitatsforsch, DZMB, Forsch Inst Senckenberg, D-26382 Wilhelmshaven, Germany; Alfred Wegener Inst Polar &amp; Marine Res, D-27515 Bremerhaven, Germany; Univ Buenos Aires, Fac Cs Exactas &amp; Nat, Buenos Aires, DF, Argentina</t>
  </si>
  <si>
    <t>Senckenberg Gesellschaft fur Naturforschung (SGN); Helmholtz Association; Alfred Wegener Institute, Helmholtz Centre for Polar &amp; Marine Research; University of Buenos Aires</t>
  </si>
  <si>
    <t>Veit-Köhler, G (corresponding author), Deutsch Zentrum Marine Biodiversitatsforsch, DZMB, Forsch Inst Senckenberg, Sudstrand 44, D-26382 Wilhelmshaven, Germany.</t>
  </si>
  <si>
    <t>gveit-koehler@senckenberg.de</t>
  </si>
  <si>
    <t>Fuentes, Verónica L/K-7589-2014</t>
  </si>
  <si>
    <t>Fuentes, Verónica L/0000-0002-6380-0174</t>
  </si>
  <si>
    <t>10.1007/s10750-006-0482-8</t>
  </si>
  <si>
    <t>152JQ</t>
  </si>
  <si>
    <t>WOS:000245358700011</t>
  </si>
  <si>
    <t>Richards, R</t>
  </si>
  <si>
    <t>Richards, Rhys</t>
  </si>
  <si>
    <t>Nathaniel Ames: A Bostonian in the Antarctic in 1821</t>
  </si>
  <si>
    <t>INTERNATIONAL JOURNAL OF MARITIME HISTORY</t>
  </si>
  <si>
    <t>Few records survive of the bonanza-like rush to exploit fur seals on the Antarctic peninsula and the South Shetland Islands from 1820 to 1826. Nathaniel Ames' personal account of the rigours he experienced sealing there in 1821 provides new insights into the dangers and hardships encountered by British and American seamen while sealing in Antarctic waters.</t>
  </si>
  <si>
    <t>SAGE PUBLICATIONS LTD</t>
  </si>
  <si>
    <t>1 OLIVERS YARD, 55 CITY ROAD, LONDON EC1Y 1SP, ENGLAND</t>
  </si>
  <si>
    <t>0843-8714</t>
  </si>
  <si>
    <t>2052-7756</t>
  </si>
  <si>
    <t>INT J MARIT HIST</t>
  </si>
  <si>
    <t>Int. J. Marit. Hist.</t>
  </si>
  <si>
    <t>+</t>
  </si>
  <si>
    <t>10.1177/084387140701900114</t>
  </si>
  <si>
    <t>History</t>
  </si>
  <si>
    <t>V57MW</t>
  </si>
  <si>
    <t>WOS:000210632900013</t>
  </si>
  <si>
    <t>Sanger, CW</t>
  </si>
  <si>
    <t>Sanger, Chesley W.</t>
  </si>
  <si>
    <t>SS Terra Nova (884-1943): From the Arctic to the Antarctic - Whaler, Sealer and Polar Exploration Ship</t>
  </si>
  <si>
    <t>[Sanger, Chesley W.] Mem Univ Newfoundland, St John, NF, Canada</t>
  </si>
  <si>
    <t>Sanger, CW (corresponding author), Mem Univ Newfoundland, St John, NF, Canada.</t>
  </si>
  <si>
    <t>10.1177/084387140701900155</t>
  </si>
  <si>
    <t>WOS:000210632900061</t>
  </si>
  <si>
    <t>Yergeau, E; Kang, S; He, Z; Zhou, J; Kowalchuk, GA</t>
  </si>
  <si>
    <t>Yergeau, Etienne; Kang, Sanghoon; He, Zhili; Zhou, Jizhong; Kowalchuk, George A.</t>
  </si>
  <si>
    <t>Functional microarray analysis of nitrogen and carbon cycling genes across an Antarctic latitudinal transect</t>
  </si>
  <si>
    <t>ISME JOURNAL</t>
  </si>
  <si>
    <t>functional gene microarray (GeoChip); antarctic soil ecosystems; microbial nitrogen cycle; microbial carbon cycle; real-time PCR</t>
  </si>
  <si>
    <t>FREEZE-THAW CYCLES; MOSS COMMUNITIES; CONTINENTAL ANTARCTICA; METHANE CONSUMPTION; OXIDIZING BACTERIA; MICROBIAL ECOLOGY; MACQUARIE ISLAND; SOILS; DIVERSITY; FUNGAL</t>
  </si>
  <si>
    <t>Soil-borne microbial communities were examined via a functional gene microarray approach across a southern polar latitudinal gradient to gain insight into the environmental factors steering soil Nand C-cycling in terrestrial Antarctic ecosystems. The abundance and diversity of functional gene families were studied for soil-borne microbial communities inhabiting a range of environments from 51 degrees S ( cool temperate - Falkland Islands) to 72 degrees S ( cold rock desert - Coal Nunatak). The recently designed functional gene array used contains 24 243 oligonucleotide probes and covers 410 000 genes in &gt; 150 functional groups involved in nitrogen, carbon, sulfur and phosphorus cycling, metal reduction and resistance and organic contaminant degradation ( He et al. 2007). The detected N- and C-cycle genes were significantly different across different sampling locations and vegetation types. A number of significant trends were observed regarding the distribution of key gene families across the environments examined. For example, the relative detection of cellulose degradation genes was correlated with temperature, and microbial C-fixation genes were more present in plots principally lacking vegetation. With respect to the N- cycle, denitrification genes were linked to higher soil temperatures, and N-2-fixation genes were linked to plots mainly vegetated by lichens. These microarray-based results were confirmed for a number of gene families using specific real-time PCR, enzymatic assays and process rate measurements. The results presented demonstrate the utility of an integrated functional gene microarray approach in detecting shifts in functional community properties in environmental samples and provide insight into the forces driving important processes of terrestrial Antarctic nutrient cycling.</t>
  </si>
  <si>
    <t>Netherlands Inst Ecol NIOO KNAW, Ctr Terr Ecol, NL-6666 ZG Heteren, Netherlands; Univ Oklahoma, Inst Environm Genom, Dept Bot &amp; Microbiol, Norman, OK 73019 USA; Free Univ Amsterdam, Inst Ecol Sci, Amsterdam, Netherlands</t>
  </si>
  <si>
    <t>Royal Netherlands Academy of Arts &amp; Sciences; Netherlands Institute of Ecology (NIOO-KNAW); University of Oklahoma System; University of Oklahoma - Norman; Vrije Universiteit Amsterdam</t>
  </si>
  <si>
    <t>Kowalchuk, GA (corresponding author), Netherlands Inst Ecol NIOO KNAW, Ctr Terr Ecol, POB 40, NL-6666 ZG Heteren, Netherlands.</t>
  </si>
  <si>
    <t>G.Kowalchuk@nioo.knaw.nl</t>
  </si>
  <si>
    <t>He, Zhili/C-2879-2012; Yergeau, Etienne/B-5344-2008; Zhou, Jizhong/ACC-8029-2022; Yergeau, Etienne/AAZ-6145-2020; Kowalchuk, George A/C-4298-2011</t>
  </si>
  <si>
    <t>He, Zhili/0000-0001-8225-7333; Zhou, Jizhong/0000-0003-2014-0564; Yergeau, Etienne/0000-0002-7112-3425; Kang, Sanghoon/0000-0002-3504-7955; Kowalchuk, George/0000-0003-3866-0832</t>
  </si>
  <si>
    <t>1751-7362</t>
  </si>
  <si>
    <t>1751-7370</t>
  </si>
  <si>
    <t>ISME J</t>
  </si>
  <si>
    <t>ISME J.</t>
  </si>
  <si>
    <t>10.1038/ismej.2007.24</t>
  </si>
  <si>
    <t>Ecology; Microbiology</t>
  </si>
  <si>
    <t>Environmental Sciences &amp; Ecology; Microbiology</t>
  </si>
  <si>
    <t>206XJ</t>
  </si>
  <si>
    <t>WOS:000249215900009</t>
  </si>
  <si>
    <t>Purusharth, RI; Madhuri, B; Ray, MK</t>
  </si>
  <si>
    <t>Purusharth, Rajyaguru Ichchhashankar; Madhuri, Bollapalli; Ray, Malay Kumar</t>
  </si>
  <si>
    <t>Exoribonuclease R in Pseudomonas syringae is essential for growth at low temperature and plays a novel role in the 3′ end processing of 16 and 5S ribosomal RNA</t>
  </si>
  <si>
    <t>JOURNAL OF BIOLOGICAL CHEMISTRY</t>
  </si>
  <si>
    <t>MESSENGER-RNA DECAY; ESCHERICHIA-COLI; RIBOSOMAL-RNA; POLYNUCLEOTIDE PHOSPHORYLASE; QUALITY-CONTROL; RIBONUCLEASE-E; IN-VIVO; BACTERIUM; DEGRADATION; DEGRADOSOME</t>
  </si>
  <si>
    <t>The (3 ' -&gt; 5 ') exoribonuclease RNase R interacts with the endoribonuclease RNase E in the degradosome of the coldadapted bacterium Pseudomonas syringae Lz4W. We now present evidence that the RNase R is essential for growth of the organism at low temperature (4 degrees C). Mutants of P. syringae with inactivated rnr gene (encoding RNase R) are cold-sensitive and die upon incubation at 4 degrees C, a phenotype that can be complemented by expressing RNase R in trans. Overexpressing polyribonucleotide phosphorylase in the rnr mutant does not rescue the cold sensitivity. This is different from the situation in Escherichia coli, where rnr mutants show normal growth, but pnp (encoding polyribonucleotide phosphorylase) and rnr double mutants are nonviable. Interestingly, RNaseRis not cold-inducible in P. syringae. Remarkably, however, rnr mutants of P. syringae at low temperature (4 degrees C) accumulate 16 and 5 S ribosomal RNA (rRNA) that contain untrimmed extra ribonucleotide residues at the 3 ' ends. This suggests a novel role for RNase R in the rRNA 3 ' end processing. Unprocessed 16 S rRNA accumulates in the polysome population, which correlates with the inefficient protein synthesis ability of mutant. An additional role of RNase R in the turnover of transfer- messenger RNA was identified from our observation that the rnr mutant accumulates transfer-messenger RNA fragments in the bacterium at 4 degrees C. Taken together our results establish that the processive RNase R is crucial for RNA metabolism at low temperature in the coldadapted Antarctic P. syringae.</t>
  </si>
  <si>
    <t>Ctr Cellular &amp; Mol Biol, Hyderabad 500007, Andhra Pradesh, India</t>
  </si>
  <si>
    <t>Council of Scientific &amp; Industrial Research (CSIR) - India; CSIR - Centre for Cellular &amp; Molecular Biology (CCMB)</t>
  </si>
  <si>
    <t>Ray, MK (corresponding author), Ctr Cellular &amp; Mol Biol, Uppal Rd, Hyderabad 500007, Andhra Pradesh, India.</t>
  </si>
  <si>
    <t>malay@ccmb.res.in</t>
  </si>
  <si>
    <t>RAJYAGURU, PURUSHARTH/0000-0003-3794-418X</t>
  </si>
  <si>
    <t>AMER SOC BIOCHEMISTRY MOLECULAR BIOLOGY INC</t>
  </si>
  <si>
    <t>9650 ROCKVILLE PIKE, BETHESDA, MD 20814-3996 USA</t>
  </si>
  <si>
    <t>1083-351X</t>
  </si>
  <si>
    <t>J BIOL CHEM</t>
  </si>
  <si>
    <t>J. Biol. Chem.</t>
  </si>
  <si>
    <t>10.1074/jbc.M605588200</t>
  </si>
  <si>
    <t>172HH</t>
  </si>
  <si>
    <t>WOS:000246794300034</t>
  </si>
  <si>
    <t>Li, QY; Zhao, QHH; Zhong, G; Jian, ZM; Jun, T; Cheng, XR; Wang, PX; Chen, MH</t>
  </si>
  <si>
    <t>Li, Qianyu; Zhao, Quanhong; Zhong, Guangfa; Jian, Zhimin; Jun, Tian; Cheng, Xinrong; Wang, Pinxian; Chen, Muhong</t>
  </si>
  <si>
    <t>Deepwater ventilation and stratification in the Neogene south China Sea</t>
  </si>
  <si>
    <t>JOURNAL OF CHINA UNIVERSITY OF GEOSCIENCES</t>
  </si>
  <si>
    <t>south China Sea; Miocene; Pliocene; Pleistocene; deep water evolution; ventilation; carbonate accumulation; oxygen and carbon isotopes.</t>
  </si>
  <si>
    <t>BENTHIC FORAMINIFERA; ISOTOPE RECORDS; MIDDLE MIOCENE; ASIAN MONSOON; SULU SEAS; OCEAN; EVOLUTION; PALEOCEANOGRAPHY; STRATIGRAPHY; VARIABILITY</t>
  </si>
  <si>
    <t>Combined data of physical property, benthic foraminifera, and stable isotopes from ODP Sites 1148, 1146, and 1143 are used to discuss deep water evolution in the South China Sea (SCS) since the Early Miocene. The results indicate that 3 lithostratigraphic units, respectively corresponding to 21-17 Ma, 15-10 Ma, and 10-5 Ma with positive red parameter (a*) marking the red brown sediment color represent 3 periods of deep water ventilation. The first 2 periods show a closer link to contemporary production of the Antarctic Bottom Water (AABW) and Northern Component Water (NCW), indicating a free connection of deep waters between the SCS and the open ocean before 10 Ma. After 10 Ma, red parameter dropped but stayed higher than the modern value (a*=0), the CaCO3 percentage difference between Site 1148 from a lower deepwater setting and Site 1146 from an upper deepwater setting enlarged significantly, and benthic species which prefer oxygen-rich bottom conditions dramatically decreased. Coupled with a major negative excursion of benthic delta(13) C at similar to 10 Ma, these parameters may denote a weakening in the control of the SCS deep water by the open ocean. Probably they mark the birth of a local deep water due to shallow waterways or rise of sill depths during the course of sea basin closing from south to east by the west-moving Philippine Are after the end of SCS seafloor spreading at 16-15 Ma. However, it took another 5 Ma before the dissolved oxygen approached close to the modern level. Although the oxygen level continued to stabilize, several Pacific Bottom Water (PBW) and Pacific Deep Water (PDW) marker species rapidly increased since similar to 6 Ma, followed by a dramatic escalation in planktonic fragmentation which indicates high dissolution especially after similar to 5 Ma. The period of 5-3 Ma saw the strongest stratified deepwater in the then SCS, as indicated by up to 40% CaCO3 difference between Sites 1148 and 1146. Apart from a strengthening PDW as a result of global cooling and ice cap buildup on northern high latitudes, a deepening sea basin due to stronger subduction eastward may also have triggered the influx of more corrosive waters from the deep western Pacific. Since 3 Ma, the evolution of the SCS deep water entered a modern phase, as characterized by relative stable 10% CaCO3 difference between the two sites and increase in infaunal benthic species which prefer a low oxygenated environment. The subsequent reduction of PBW and PDW marker species at about 1.2 Ma and 0.9 Ma and another significant negative excursion of benthic delta C-13 to a Neogene minimum at similar to 0.9 Ma together convey a clear message that the PBW largely disappeared and the PDW considerably weakened in the Mid-Pleistocene SCS. Therefore, the true modern mode SCS deep water started to form only during the Mid-Pleistocene climatic transition probably due to the rise of sill depths under the Bashi Strait.</t>
  </si>
  <si>
    <t>Tongji Univ, State Key Lab Marine Geol, Shanghai 200092, Peoples R China; Univ Adelaide, Sch Earth &amp; Environm Sci, Adelaide, SA 5005, Australia; Chinese Acad Sci, S China Sea Inst Oceanol, Guangzhou 510301, Peoples R China</t>
  </si>
  <si>
    <t>Tongji University; University of Adelaide; Chinese Academy of Sciences; South China Sea Institute of Oceanology, CAS</t>
  </si>
  <si>
    <t>Li, QY (corresponding author), Tongji Univ, State Key Lab Marine Geol, Shanghai 200092, Peoples R China.</t>
  </si>
  <si>
    <t>qli0l@mail.tongji.edu.cn</t>
  </si>
  <si>
    <t>Chen, MuHong/ACJ-6131-2022; Wu, Jiale/JQV-3750-2023; li, qianyu/GXV-6594-2022</t>
  </si>
  <si>
    <t>Chen, MuHong/0000-0001-6516-1073;</t>
  </si>
  <si>
    <t>CHINA UNIV GEOSCIENCES, WUHAN</t>
  </si>
  <si>
    <t>WUHAN</t>
  </si>
  <si>
    <t>388 LIMO RD, WUHAN, CHINA MAINLAND 430074, PEOPLES R CHINA</t>
  </si>
  <si>
    <t>1002-0705</t>
  </si>
  <si>
    <t>J CHINA UNIV GEOSCI</t>
  </si>
  <si>
    <t>J. China Univ. Geosci.</t>
  </si>
  <si>
    <t>Geology; Geosciences, Multidisciplinary</t>
  </si>
  <si>
    <t>188BM</t>
  </si>
  <si>
    <t>WOS:000247893500001</t>
  </si>
  <si>
    <t>Hendon, HH; Thompson, DWJ; Wheeler, MC</t>
  </si>
  <si>
    <t>Hendon, Harry H.; Thompson, David W. J.; Wheeler, Matthew C.</t>
  </si>
  <si>
    <t>Australian rainfall and surface temperature variations associated with the Southern Hemisphere annular mode</t>
  </si>
  <si>
    <t>ZONAL FLOW FEEDBACK; ANTARCTIC OSCILLATION; CLIMATE-CHANGE; INTERANNUAL VARIABILITY; TRENDS; WINTER; CIRCULATION; SIMULATION; COMPOSITE; ANOMALIES</t>
  </si>
  <si>
    <t>Daily variations in Australian rainfall and surface temperature associated with the Southern Hemisphere annular mode (SAM) are documented using observations for the period 1979-2005. The high index polarity of the SAM is characterized by a poleward contraction of the midlatitude westerlies. During winter, the high index polarity of the SAM is associated with decreased daily rainfall over southeast and southwest Australia, but during summer it is associated with increased daily rainfall on the southern east coast of Australia and decreased rainfall in western Tasmania. Variations in the SAM explain up to similar to 15% of the weekly rainfall variance in these regions, which is comparable to the variance accounted for by the El Nino-Southern Oscillation, especially during winter. The most widespread temperature anomalies associated with the SAM occur during the spring and summer seasons, when the high index polarity of the SAM is associated with anomalously low maximum temperature over most of central/eastern subtropical Australia. The regions of decreased maximum temperature are also associated with increased rainfall. Implications for recent trends in Australian rainfall and temperature are discussed.</t>
  </si>
  <si>
    <t>Bur Meteorol Res Ctr, Melbourne, Vic 3001, Australia; Colorado State Univ, Dept Atmospher Sci, Ft Collins, CO 80523 USA</t>
  </si>
  <si>
    <t>Bureau of Meteorology - Australia; Colorado State University</t>
  </si>
  <si>
    <t>Hendon, HH (corresponding author), Bur Meteorol Res Ctr, GPO Box 1289, Melbourne, Vic 3001, Australia.</t>
  </si>
  <si>
    <t>hhh@bom.gov.au</t>
  </si>
  <si>
    <t>Wheeler, Matthew C/C-9038-2011; Thompson, David W J/F-9627-2012; Thompson, David/C-3520-2008</t>
  </si>
  <si>
    <t>Wheeler, Matthew C/0000-0002-9769-1973; Thompson, David W J/0000-0002-5413-4376; Hendon, Harry H./0000-0002-4378-2263</t>
  </si>
  <si>
    <t>10.1175/JCLI4134.1</t>
  </si>
  <si>
    <t>177NH</t>
  </si>
  <si>
    <t>WOS:000247159300007</t>
  </si>
  <si>
    <t>Zhang, JL</t>
  </si>
  <si>
    <t>Zhang, Jinlun</t>
  </si>
  <si>
    <t>Increasing Antarctic sea ice under warming atmospheric and oceanic conditions</t>
  </si>
  <si>
    <t>SOUTHERN-OCEAN; THICKNESS DISTRIBUTION; SURFACE-TEMPERATURE; HEAT-FLUX; VARIABILITY; TRENDS; CIRCULATION; COVER; LAYER</t>
  </si>
  <si>
    <t>Estimates of sea ice extent based on satellite observations show an increasing Antarctic sea ice cover from 1979 to 2004 even though in situ observations show a prevailing warming trend in both the atmosphere and the ocean. This riddle is explored here using a global multicategory thickness and enthalpy distribution sea ice model coupled to an ocean model. Forced by the NCEP-NCAR reanalysis data, the model simulates an increase of 0.20 x 10(12) m(3) yr(-1) (1.0% yr(-1)) in total Antarctic sea ice volume and 0.084 x 10(12) m(2) yr(-1) (0.6% yr(-1)) in sea ice extent from 1979 to 2004 when the satellite observations show an increase of 0.027 x 10(12) m(2) yr(-1) (0.2% yr(-1)) in sea ice extent during the same period. The model shows that an increase in surface air temperature and downward longwave radiation results in an increase in the upper-ocean temperature and a decrease in sea ice growth, leading to a decrease in salt rejection from ice, in the upper-ocean salinity, and in the upper-ocean density. The reduced salt rejection and upper-ocean density and the enhanced thermohaline stratification tend to suppress convective overturning, leading to a decrease in the upward ocean heat transport and the ocean heat flux available to melt sea ice. The ice melting from ocean heat flux decreases faster than the ice growth does in the weakly stratified Southern Ocean, leading to an increase in the net ice production and hence an increase in ice mass. This mechanism is the main reason why the Antarctic sea ice has increased in spite of warming conditions both above and below during the period 1979-2004 and the extended period 1948-2004.</t>
  </si>
  <si>
    <t>Univ Washington, Coll Ocean &amp; Fishery Sci, Appl Phys Lab, Polar Sci Ctr, Seattle, WA 98105 USA</t>
  </si>
  <si>
    <t>Zhang, JL (corresponding author), Univ Washington, Coll Ocean &amp; Fishery Sci, Appl Phys Lab, Polar Sci Ctr, Seattle, WA 98105 USA.</t>
  </si>
  <si>
    <t>zhang@apl.washington.edu</t>
  </si>
  <si>
    <t>10.1175/JCLI4136.1</t>
  </si>
  <si>
    <t>WOS:000247159300011</t>
  </si>
  <si>
    <t>Gordon, AL; Visbeck, M; Comiso, JC</t>
  </si>
  <si>
    <t>Gordon, Arnold L.; Visbeck, Martin; Comiso, Josefino C.</t>
  </si>
  <si>
    <t>A possible link between the Weddell Polynya and the Southern Annular Mode</t>
  </si>
  <si>
    <t>ANTARCTIC CIRCUMPOLAR CURRENT; WINTER MIXED LAYER; SEA-ICE EXTENT; MAUD RISE; DEEP-WATER; EXTRATROPICAL CIRCULATION; SYNCHRONOUS VARIABILITY; OVERTURNING CIRCULATION; HEMISPHERE ATMOSPHERE; OCEAN</t>
  </si>
  <si>
    <t>Shortly after the advent of the first imaging passive microwave sensor on board a research satellite an anomalous climate feature was observed within the Weddell Sea. During the years 1974-1976, a 250 x 10(3) km(2) area within the seasonal sea ice cover was virtually free of winter sea ice. This feature, the Weddell Polynya, was created as sea ice formation was inhibited by ocean convection that injected relatively warm deep water into the surface layer. Though smaller, less persistent polynyas associated with topographically induced upwelling at Maud Rise frequently form in the area, there has not been a reoccurrence of the Weddell Polynya since 1976. Archived observations of the surface layer salinity within the Weddell gyre suggest that the Weddell Polynya may have been induced by a prolonged period of negative Southern Annular Mode (SAM). During negative SAM the Weddell Sea experiences colder and drier atmospheric conditions, making for a saltier surface layer with reduced pycnocline stability. This condition enables Maud Rise upwelling to trigger sustained deep-reaching convection associated with the polynya. Since the late 1970s SAM has been close to neutral or in a positive state, resulting in warmer, wetter conditions over the Weddell Sea, forestalling repeat of the Weddell Polynya. A contributing factor to the Weddell Polynya initiation may have been a La Nina condition, which is associated with increased winter sea ice formation in the polynya area. If the surface layer is made sufficiently salty due to a prolonged negative SAM period, perhaps aided by La Nina, then Maud Rise upwelling meets with positive feedback, triggering convection, and a winter persistent Weddell Polynya.</t>
  </si>
  <si>
    <t>Lamont Doherty Earth Observ, Palisades, NY 10964 USA; IFM, GEOMAR, Leibniz Inst Marine Sci, Kiel, Germany; NASA, Goddard Space Flight Ctr, Greenbelt, MD 20771 USA</t>
  </si>
  <si>
    <t>Columbia University; Helmholtz Association; GEOMAR Helmholtz Center for Ocean Research Kiel; National Aeronautics &amp; Space Administration (NASA); NASA Goddard Space Flight Center</t>
  </si>
  <si>
    <t>Gordon, AL (corresponding author), Lamont Doherty Earth Observ, 61 Route 9W, Palisades, NY 10964 USA.</t>
  </si>
  <si>
    <t>agordon@ldeo.columbia.edu</t>
  </si>
  <si>
    <t>Visbeck, Martin H/B-6541-2016; Visbeck, Martin/G-2461-2011; Gordon, Arnold L./H-1049-2011</t>
  </si>
  <si>
    <t>Visbeck, Martin H/0000-0002-0844-834X; Visbeck, Martin/0000-0002-0844-834X; Gordon, Arnold L./0000-0001-6480-6095</t>
  </si>
  <si>
    <t>10.1175/JCLI4046.1</t>
  </si>
  <si>
    <t>WOS:000247159300014</t>
  </si>
  <si>
    <t>Baines, PG; Folland, CK</t>
  </si>
  <si>
    <t>Baines, Peter G.; Folland, Chris K.</t>
  </si>
  <si>
    <t>Evidence for a rapid global climate shift across the late 1960s</t>
  </si>
  <si>
    <t>NORTHEAST BRAZIL RAINFALL; SEA-SURFACE TEMPERATURE; THERMOHALINE CIRCULATION; WINTER RAINFALL; SAHEL RAINFALL; VARIABILITY; ENSO; OSCILLATION; PREDICTABILITY; UNCERTAINTIES</t>
  </si>
  <si>
    <t>It is shown that a number of important characteristics of the global atmospheric circulation and climate changed in a near- monotonic fashion over the decade, or less, centered on the late 1960s. These changes were largest or commonest in tropical regions, the Southern Hemisphere, and the Atlantic sector of the Northern Hemisphere. Some, such as the decrease in rainfall in the African Sahel, are well known. Others appear to be new, but their combined extent is global and dynamical linkages between them are evident. The list of affected variables includes patterns of SST; tropical rainfall in the African Sahel and Sudan, the Amazon basin, and northeast Brazil; pressure and SST in the tropical North Atlantic and the west and central Pacific; various branches of the southern Hadley circulation and the southern subtropical jet stream; the summer North Atlantic Oscillation; south Greenland temperature; the Southern Hemisphere storm track; and, quite likely, the Antarctic sea ice boundary. These changes are often strongest in the June August season; changes are also seen in December - February but are generally smaller. In Greenland, annual mean temperature seems to be affected strongly, reflecting similar changes in SST throughout the year in the higher latitudes of the North Atlantic. Possible causes for these coordinated changes are briefly evaluated. The most likely candidates appear to be a likely reduction in the northward oceanic heat flux associated with the North Atlantic thermohaline circulation in the 1950s to 1970s, which was nearly in phase with a rapid increase in anthropogenic aerosol emissions during the 1950s and 1960s, particularly over Europe and North America.</t>
  </si>
  <si>
    <t>Univ Melbourne, Dept Civil &amp; Environm Engn, Melbourne, Vic, Australia; Univ Bristol, Dept Earth Sci, Bristol, Avon, England</t>
  </si>
  <si>
    <t>University of Melbourne; Melbourne Bioinformatics; University of Bristol</t>
  </si>
  <si>
    <t>Baines, PG (corresponding author), Univ Melbourne, Dept Civil &amp; Environm Engn, Melbourne, Vic, Australia.</t>
  </si>
  <si>
    <t>p.baines@unimelb.edu.au</t>
  </si>
  <si>
    <t>Folland, Chris K/I-2524-2013</t>
  </si>
  <si>
    <t>Folland, Chris K/0000-0002-3143-5918</t>
  </si>
  <si>
    <t>10.1175/JCLI4177.1</t>
  </si>
  <si>
    <t>180KX</t>
  </si>
  <si>
    <t>WOS:000247363100001</t>
  </si>
  <si>
    <t>Moline, MA; Woodruff, DL; Evans, NR</t>
  </si>
  <si>
    <t>Moline, Mark A.; Woodruff, Dana L.; Evans, Nathan R.</t>
  </si>
  <si>
    <t>Optical delineation of benthic habitat using an autonomous underwater vehicle</t>
  </si>
  <si>
    <t>JOURNAL OF FIELD ROBOTICS</t>
  </si>
  <si>
    <t>IRRADIANCE DISTRIBUTION; ANTARCTIC KRILL</t>
  </si>
  <si>
    <t>To better characterize and improve our understanding of coastal waters, there has been an increasing emphasis on autonomous systems that can sample the ocean on relevant scales. Autonomous underwater vehicles (AUVs) with active propulsion are especially well suited for studies of the coastal ocean because they are able to provide systematic and near-synoptic spatial observations. With this capability, science users are beginning to integrate sensor suits for a broad range of specific and often novel applications. Here, the relatively mature Remote Environmental Monitoring Units (REMUS) AUV system is configured with multi-spectral radiometers to delineate benthic habitat in Sequim Bay, WA. The vehicle was deployed in a grid pattern along 5 km of coastline in depths from 30 to less than 2 m. Similar to satellite and/or aerial remote sensing, the bandwidth ratios from the downward looking radiance sensor and upward looking irradiance sensor were used to identify beds of eelgrass on submeter scales. Strong correlations were found between the optical reflectance signals and the geo-referenced in situ data collected with underwater video within the grid. Results demonstrate the ability of AUVs to map littoral habitats at high resolution and highlight the overall utility of the REMUS vehicle for nearshore oceanography. (C) 2007 Wiley Periodicals, Inc.</t>
  </si>
  <si>
    <t>Calif Polytech State Univ San Luis Obispo, Dept Biol Sci, Ctr Marine &amp; Coastal Sci, San Luis Obispo, CA 93407 USA; Pacific NW Natl Lab, Battelle Marine Sci Lab, Sequim, WA 98382 USA; Appl Tech Syst, Silverdale, WA 98383 USA</t>
  </si>
  <si>
    <t>California State University System; California Polytechnic State University San Luis Obispo; United States Department of Energy (DOE); Pacific Northwest National Laboratory</t>
  </si>
  <si>
    <t>Moline, MA (corresponding author), Calif Polytech State Univ San Luis Obispo, Dept Biol Sci, Ctr Marine &amp; Coastal Sci, San Luis Obispo, CA 93407 USA.</t>
  </si>
  <si>
    <t>moline@marine.calpoly.edu; dana.woodruff@pnl.gov; nathan.evans@intelligentdiscovcry.com</t>
  </si>
  <si>
    <t>1556-4959</t>
  </si>
  <si>
    <t>1556-4967</t>
  </si>
  <si>
    <t>J FIELD ROBOT</t>
  </si>
  <si>
    <t>J. Field Robot.</t>
  </si>
  <si>
    <t>10.1002/rob.20176</t>
  </si>
  <si>
    <t>Robotics</t>
  </si>
  <si>
    <t>191YG</t>
  </si>
  <si>
    <t>WOS:000248167300004</t>
  </si>
  <si>
    <t>McKenzie, J; Page, B; Shaughnessy, PD; Hindell, MA</t>
  </si>
  <si>
    <t>McKenzie, Jane; Page, Brad; Shaughnessy, Peter D.; Hindell, Mark A.</t>
  </si>
  <si>
    <t>Age and reproductive maturity of New Zealand fur seals (Arctocephalus forsteri) in southern Australia</t>
  </si>
  <si>
    <t>JOURNAL OF MAMMALOGY</t>
  </si>
  <si>
    <t>age estimation; Arctocephalus forsteri; cementum; longevity; reproduction</t>
  </si>
  <si>
    <t>CALLORHINUS-URSINUS; POPULATION-DYNAMICS; SEXUAL MATURITY; ELEPHANT SEALS; AVERAGE AGE; 1ST REPRODUCTION; TEMPORAL CHANGES; MARINE MAMMALS; GROWTH; TROPICALIS</t>
  </si>
  <si>
    <t>New Zealand fur seals (Arctocephalus forsteri) are common in the Australian-New Zealand region, but vital demographic data are lacking. Accurate determination of the age of individuals is critical to the study of age-specific life-history parameters. A cross-sectional sample of female and male New Zealand fur seals was caught and animals were individually marked on Kangaroo Island, South Australia, between 2000 and 2003. Seals were aged through examination of a postcanine tooth, which was removed from each animal. Annual formation of cementum layers was confirmed and accuracy in age estimation was determined by examination of teeth removed from individuals of known age. Indirect methods of assessing reproductive maturity based on characteristics of mammary teats indicated that females 1st gave birth between 4 and 8 years of age, with an average age at reproductive maturity (ARM) of 5 years. No females were observed to breed beyond 22 years. Age of 1st territory tenure in males ranged from 8 to 10 years. Variation in ARM between individuals appears to be related in part to body size and condition. Classification of mammary teat status in combination with techniques for aging live animals provided a means of assessing ARM in the absence of extensive longitudinal data.</t>
  </si>
  <si>
    <t>Univ Alaska Fairbanks, Fisheries Ind Technol Ctr, Sch Fisheries &amp; Ocean Sci, Kodiak, AK 99615 USA; S Australian Res &amp; Dev Inst, Henley Beach, SA 5022, Australia; Univ Tasmania, Sch Zool, Antarctic Wildlife Res Unit, Hobart, Tas 7001, Australia; La Trobe Univ, Zool Dept, Sea Mammal Ecol Grp, Bundoora, Vic 3086, Australia</t>
  </si>
  <si>
    <t>University of Alaska System; University of Alaska Fairbanks; University of Tasmania; La Trobe University</t>
  </si>
  <si>
    <t>McKenzie, J (corresponding author), Univ Alaska Fairbanks, Fisheries Ind Technol Ctr, Sch Fisheries &amp; Ocean Sci, Kodiak, AK 99615 USA.</t>
  </si>
  <si>
    <t>janemckenzie@malpage.com</t>
  </si>
  <si>
    <t>Hindell, Mark A/C-8368-2013; Shaughnessy, Peter/AAG-6689-2021; Hindell, Mark A/K-1131-2013</t>
  </si>
  <si>
    <t>Hindell, Mark/0000-0002-7823-7185</t>
  </si>
  <si>
    <t>ALLIANCE COMMUNICATIONS GROUP DIVISION ALLEN PRESS</t>
  </si>
  <si>
    <t>810 EAST 10TH STREET, LAWRENCE, KS 66044 USA</t>
  </si>
  <si>
    <t>0022-2372</t>
  </si>
  <si>
    <t>J MAMMAL</t>
  </si>
  <si>
    <t>J. Mammal.</t>
  </si>
  <si>
    <t>10.1644/06-MAMM-A-150R1.1</t>
  </si>
  <si>
    <t>176UJ</t>
  </si>
  <si>
    <t>WOS:000247110100012</t>
  </si>
  <si>
    <t>Weiss, A; Kuss, J; Peters, G; Schneider, B</t>
  </si>
  <si>
    <t>Weiss, Alexandra; Kuss, Joachim; Peters, Gerhard; Schneider, Bernd</t>
  </si>
  <si>
    <t>Evaluating transfer velocity-wind speed relationship using a long-term series of direct eddy correlation CO2 flux measurements</t>
  </si>
  <si>
    <t>JOURNAL OF MARINE SYSTEMS</t>
  </si>
  <si>
    <t>37th International Liege Colloquium on Ocean Dynamics/5th International Symposium on Gas Transfer at Water Surfaces</t>
  </si>
  <si>
    <t>MAY 02-06, 2005</t>
  </si>
  <si>
    <t>Univ Liege, Liege, BELGIUM</t>
  </si>
  <si>
    <t>Univ Liege</t>
  </si>
  <si>
    <t>air-sea CO2 exchange; CO2 eddy correlation measurements; air-sea interaction; Co-2 transfer velocity parameterization; Baltic sea</t>
  </si>
  <si>
    <t>GAS-EXCHANGE; BALTIC SEA; AIR; PCO(2); HEAT</t>
  </si>
  <si>
    <t>Long-term observations of the marine atmospheric boundary layer were performed by an eddy correlation system, which was set-up on a platform in the Baltic Sea. In this experiment the three-dimensional wind vector and the turbulent fluxes of momentum, sensible and latent heat and CO, were measured for one and a half years. Simultaneously the CO2 partial pressure pCO(2) in surface water was measured by a submersible autonomous moored instrument for CO2 at the platform in 7-m depth. The high-resolution eddy correlation measurements of the atmospheric CO2 flux F-CO, together with the measurements of the CO, partial pressure differences between air and sea Delta p(CO2) led to a long-term data set which provided the possibility to investigate the parameterization of the CO2 transfer velocity k as a function of 10-m wind speed u in a statistical manner. From half-hour mean CO2 fluxes and CO2 partial pressure differences, k was calculated using k=FCO2/(K-0 Delta p(CO2)), with K-0 the CO2 solubility. The half-hour mean data points, used for the determination of the k-u parameterization, show large scatter. However, assuming a linear, quadratic dependency the analysis yields: k(660)=0.365u(2) +0.46u (k at 20 degrees C and salinity 35 psu) with a correlation coefficient of r(2)=0.81. The large scatter indicates that the kinetics of the air-sea CO2 transfer velocity is not only a function of the wind speed alone, but might also be controlled by other environmental parameters and mechanisms, such as sea state and surface coverage with surfactants. (c) 2006 Elsevier B.V All rights reserved.</t>
  </si>
  <si>
    <t>Univ Hamburg, Inst Meteorol, Ctr Marine &amp; Climate Res, D-20148 Hamburg, Germany; Baltic Seat Res Inst, Dept Marine Chem, D-18119 Rostock, Germany</t>
  </si>
  <si>
    <t>University of Hamburg</t>
  </si>
  <si>
    <t>Weiss, A (corresponding author), British Antarctic Survey, Madingley Rd, Cambridge CB3 0ET, England.</t>
  </si>
  <si>
    <t>aiw@bas.ac.uk</t>
  </si>
  <si>
    <t>Kuss, Joachim/0000-0001-8586-6265</t>
  </si>
  <si>
    <t>0924-7963</t>
  </si>
  <si>
    <t>1879-1573</t>
  </si>
  <si>
    <t>J MARINE SYST</t>
  </si>
  <si>
    <t>J. Mar. Syst.</t>
  </si>
  <si>
    <t>10.1016/j.jmarsys.2006.04.011</t>
  </si>
  <si>
    <t>Geosciences, Multidisciplinary; Marine &amp; Freshwater Biology; Oceanography</t>
  </si>
  <si>
    <t>Geology; Marine &amp; Freshwater Biology; Oceanography</t>
  </si>
  <si>
    <t>177RW</t>
  </si>
  <si>
    <t>WOS:000247171200013</t>
  </si>
  <si>
    <t>Eastman, JT; Lannoo, MJ</t>
  </si>
  <si>
    <t>Eastman, Joseph T.; Lannoo, Michael J.</t>
  </si>
  <si>
    <t>Brain and sense organ anatomy and histology of two species of phyletically basal non-antarctic thornfishes of the Antarctic suborder notothenioidei (Perciformes: Bovichtidae)</t>
  </si>
  <si>
    <t>JOURNAL OF MORPHOLOGY</t>
  </si>
  <si>
    <t>brain histology; retinal histology; ocular vasculature; cephalic lateral line system</t>
  </si>
  <si>
    <t>LATERAL-LINE SYSTEMS; FISHES; MORPHOLOGY; EVOLUTION; MITOCHONDRIAL; TELEOSTEI; SEA; DIVERSIFICATION; VASCULARIZATION; GENE</t>
  </si>
  <si>
    <t>The predominantly non-Antarctic family Bovichtidae is phyletically basal within the perciform suborder Notothenioidei, the dominant component of the Antarctic fish fauna. In this article we focus on the South Atlantic bovichtids Bovichtus diacanthus, the klipfish from tide pools at Tristan da Cunha, and Cottoperca gobio, the frogmouth from the Patagonian shelf and Falkland Islands. We document the anatomy and histology of the brains, olfactory apparatus, retina, and cephalic lateral line system. We also use the microvascular casting agent Microfil (R) to examine ocular vascular structures. We provide detailed drawings of the brains and cranial nerves of both species. Typical of perciforms, the brains of both species have a well-developed tectum and telencephalon and robust thalamic nuclei. The telencephalon of C. gobio is prominently lobed, with the dorsomedial nucleus more conspicuous than in any other notothenioid. The corpus cerebelli is relatively small and upright and, unlike other notothenioids, has prominent transverse sulci on the dorsal and caudal surfaces. Areas for lateral line mechanoreception (eminentia granularis and crista cerebellaris) are also conspicuous but olfactory, gustatory, and somatosensory areas are less prominent. The anterior lateral line nerve complex is larger than the posterior lateral line nerve in B. diacanthus, and in their cephalic lateral line systems both species possess branched membranous tubules (which do not contain neuromasts) with small pores. These are especially complex in B. diacanthus where they become increasingly branched and more highly pored in progressively larger specimens. Superficial neuromasts are sparse. Both species have duplex (cone and rod) retinae that are 1.25-fold thicker and have nearly 5-fold more photoreceptors and than those of most Antarctic notothenioids. Convergence ratios are also high for bovichtids. Bovichtus diacanthus has a yellow intraocular filter in the dorsal aspect of the cornea. Both species are unique among notothenioids in possessing all three vascular structures present in the generalized teleostean eye: the choroid rete mirabile, the lentiform body (also a rete), and the falciform process. When comparing the phyletically derived Antarctic clade exemplified by the families Artedidraconidae, Bathydraconidae, and Channichthyidae to the phyletically basal bovichtids, we observe phyletic regression and reduction in some regions of the brain and in some sensory modalities that are well displayed in bovichtids. In the phyletically derived families the brain is less cellular and nuclei are smaller and less prominent. In some species reduction in the size of the telencephalon, tectum, and corpus cerebelli imparts a stalked appearance to the brain with the neural axis visible between the reduced lobes. There is also a phyletic reduction in the number of ocular vascular structures from three in bovichtids to one or none in artedidraconids, bathydraconids, and channichthyids. There are no morphological features of bovichtid brains and sense organs that presage the divergence of the phyletically derived members of the clade in the Antarctic marine environment with its cold and deep continental shelves. We conclude that this environment does not require sensory or neural morphology or capabilities beyond those provided by the basic perciform body plan.</t>
  </si>
  <si>
    <t>Ohio Univ, Coll Osteopath Med, Dept Biomed Sci, Athens, OH 45701 USA; Indiana State Univ, Sch Med, Terre Haute, IN 47809 USA</t>
  </si>
  <si>
    <t>University System of Ohio; Ohio University; Indiana State University</t>
  </si>
  <si>
    <t>Eastman, JT (corresponding author), Ohio Univ, Coll Osteopath Med, Dept Biomed Sci, Athens, OH 45701 USA.</t>
  </si>
  <si>
    <t>eastman@ohiou.edu</t>
  </si>
  <si>
    <t>Eastman, Joseph T/A-9786-2008; Eastman, Joseph T./O-6150-2019</t>
  </si>
  <si>
    <t>Eastman, Joseph T./0000-0003-3868-261X</t>
  </si>
  <si>
    <t>NINDS NIH HHS [NS37600-01] Funding Source: Medline</t>
  </si>
  <si>
    <t>NINDS NIH HHS(United States Department of Health &amp; Human ServicesNational Institutes of Health (NIH) - USANIH National Institute of Neurological Disorders &amp; Stroke (NINDS))</t>
  </si>
  <si>
    <t>0362-2525</t>
  </si>
  <si>
    <t>1097-4687</t>
  </si>
  <si>
    <t>J MORPHOL</t>
  </si>
  <si>
    <t>J. Morphol.</t>
  </si>
  <si>
    <t>10.1002/jmor.10534</t>
  </si>
  <si>
    <t>Anatomy &amp; Morphology</t>
  </si>
  <si>
    <t>170PH</t>
  </si>
  <si>
    <t>WOS:000246675400002</t>
  </si>
  <si>
    <t>Toyota, T; Takatsuji, S; Tateyama, K; Naoki, K; Ohshima, KI</t>
  </si>
  <si>
    <t>Toyota, Takenobu; Takatsuji, Shinya; Tateyama, Kazutaka; Naoki, Kazuhiro; Ohshima, Kay I.</t>
  </si>
  <si>
    <t>Properties of sea ice and overlying snow in the southern Sea of Okhotsk</t>
  </si>
  <si>
    <t>sea ice; Sea of Okhotsk; snow; ice growth processes; snow ice; stable isotopic composition; fractionation coefficient</t>
  </si>
  <si>
    <t>THICKNESS DISTRIBUTION; SALINITY PROFILE; AMUNDSEN SEAS; HEAT-BUDGET; WEDDELL SEA; COVER; GROWTH; WINTER; BELLINGSHAUSEN; VARIABILITY</t>
  </si>
  <si>
    <t>The general properties of sea ice and overlying snow in the southern Sea of Okhotsk were examined during early February of 2003 to 2005 with the P/V Soya. Thin section analysis of crystal structure revealed that frazil ice (48% of total core length) was more prevalent than columnar ice (39%) and that stratigraphic layering was prominent with a mean layer thickness of 12 cm, indicating that dynamic processes are essential to ice growth. The mean thickness of ice blocks and visual observations suggest that ridging dominates the deformation process above thicknesses of 30 to 40 cm. As for snow, it was found that faceted crystals and depth hoar are dominant (78%), as which is also common in the Antarctic sea ice, and is indicative of the strong vertical temperature gradients within the snow. Stable isotope measurements ( 6180) indicate that snow ice occupies 9% of total core length and that the mass fraction of meteoric ice accounts for 1 to 2% of total ice volume, which is lower than the Antarctic sea ice. Associated with this, the effective fractionation coefficient during the freezing of seawater was also derived. Snow ice was characterized by lower density higher salinity, and nearly twice the gas content of ice of seawater origin. In addition, it is shown that the surface brine volume fraction and freeboard are well correlated with ice thickness, indicating some promise for remote sensing approaches to the estimation of ice thickness.</t>
  </si>
  <si>
    <t>Hokkaido Univ, Inst Low Temp Sci, Kita Ku, Sapporo, Hokkaido 0600819, Japan; Japan Meteorol Agcy, Chiyoda Ku, Tokyo 1008122, Japan; Kitami Inst Technol, Dept Civil Engn, Kitami, Hokkaido 0908507, Japan; Chiba Univ, Grad Sch Sci &amp; Technol, Inage Ku, Chiba 2638522, Japan</t>
  </si>
  <si>
    <t>Hokkaido University; Japan Meteorological Agency; Kitami Institute of Technology; Chiba University</t>
  </si>
  <si>
    <t>Toyota, T (corresponding author), Hokkaido Univ, Inst Low Temp Sci, Kita Ku, Sapporo, Hokkaido 0600819, Japan.</t>
  </si>
  <si>
    <t>toyota@lowtem.hokudai.ac.jp</t>
  </si>
  <si>
    <t>Toyota, Takenobu/D-9101-2012; Ohshima, Kay I/D-6909-2012</t>
  </si>
  <si>
    <t>10.1007/s10872-007-0037-2</t>
  </si>
  <si>
    <t>161HF</t>
  </si>
  <si>
    <t>WOS:000246004700004</t>
  </si>
  <si>
    <t>Sekimoto, S; Kobayashi, T; Takamiya, K; Ebihara, M; Shibata, S</t>
  </si>
  <si>
    <t>Sekimoto, S.; Kobayashi, T.; Takamiya, K.; Ebihara, M.; Shibata, S.</t>
  </si>
  <si>
    <t>Instrumental neutron activation analysis of spherule samples recovered from the Pacific ocean sea sediment and Antarctic ice sheet</t>
  </si>
  <si>
    <t>JOURNAL OF RADIOANALYTICAL AND NUCLEAR CHEMISTRY</t>
  </si>
  <si>
    <t>Chemical compositions of spherules separated from deep sea sediment dredged off Hawaiian islands and from Antarctic ice were measured by instrumental neutron activation analysis (INAA) using Kyoto University Reactor (KUR). Iron, cobalt, nickel, iridium, scandium and manganese contents in those spherules were determined to be 19.3-97.7%, 23-4370 mg center dot kg(1), 0.08-7.04%, 0.84-35.4 mg center dot kg(-1), 1.4-44.3 mg center dot kg(-1) stop and 93.4 mg center dot kg(-1-)7.2 %, respectively, and compared with each other. Particularly, iridium was detected in seven spherules among fourteen from Hawaii, but only one spherule among twenty-two from Antarctic, and those spherules turned out to be extraterrestrial in origin. However, it was shown that there was little difference in characteristics of elemental contents between both kinds of spherules, except for Ir-detected spherules.</t>
  </si>
  <si>
    <t>Kyoto Univ, Inst Res Reactor, Osaka 5900494, Japan; Nihon Univ, Coll Humanities &amp; Sci, Setagaya Ku, Tokyo 1568550, Japan; Tokyo Metropolitan Univ, Grad Sch Sci, Dept Chem, Hachioji, Tokyo 1920397, Japan</t>
  </si>
  <si>
    <t>Kyoto University; Nihon University; Tokyo Metropolitan University</t>
  </si>
  <si>
    <t>Sekimoto, S (corresponding author), Kyoto Univ, Inst Res Reactor, Kumatori Cho, Osaka 5900494, Japan.</t>
  </si>
  <si>
    <t>sekimoto@HL.rri.kyoto-u.ac.jp</t>
  </si>
  <si>
    <t>TAKAMIYA, Koichi/IAQ-2880-2023</t>
  </si>
  <si>
    <t>0236-5731</t>
  </si>
  <si>
    <t>J RADIOANAL NUCL CH</t>
  </si>
  <si>
    <t>J. Radioanal. Nucl. Chem.</t>
  </si>
  <si>
    <t>10.1007/s10967-007-0601-7</t>
  </si>
  <si>
    <t>Chemistry, Analytical; Chemistry, Inorganic &amp; Nuclear; Nuclear Science &amp; Technology</t>
  </si>
  <si>
    <t>Chemistry; Nuclear Science &amp; Technology</t>
  </si>
  <si>
    <t>163ST</t>
  </si>
  <si>
    <t>WOS:000246184200001</t>
  </si>
  <si>
    <t>Kawano, M; Falandysz, J; Wakimoto, T</t>
  </si>
  <si>
    <t>Kawano, M.; Falandysz, J.; Wakimoto, T.</t>
  </si>
  <si>
    <t>Instrumental neutron activation analysis of extractable organohalogens in the Antarctic Weddell seal (Leptonychotes weddelli)</t>
  </si>
  <si>
    <t>EOX</t>
  </si>
  <si>
    <t>Instrumental neutron activation analysis (INAA) was performed for measurement of extractable organohalogens (EOX) in blubber samples of Weddell seals (Leptonychotes weddelli) from Antarctica. EOX were detected in all the analyzed samples. The concentration order of EOX was: extractable organochlorine (EOCl)&gt; extractable organobromine (EOBr)&gt; extractable organoiodine (EOI). Their levels increased gradually with aging as with other man-made persistent organic pollutants (POPs) such as PCBs and DDTs.</t>
  </si>
  <si>
    <t>Ehime Univ, Dept Environm Conservat, Matsuyama, Ehime 7908566, Japan; Univ Gdansk, Dept Environm Chem &amp; Ecotoxicol, PL-80952 Gdansk, Poland</t>
  </si>
  <si>
    <t>Ehime University; Fahrenheit Universities; University of Gdansk</t>
  </si>
  <si>
    <t>Kawano, M (corresponding author), Ehime Univ, Dept Environm Conservat, Tarumi 3-5-7, Matsuyama, Ehime 7908566, Japan.</t>
  </si>
  <si>
    <t>mkawano@agr.ehime-u.ac.jp</t>
  </si>
  <si>
    <t>Wakimoto, Toshiyuki/Q-3278-2019; Falandysz, Jerzy/AAR-9241-2020</t>
  </si>
  <si>
    <t>Falandysz, Jerzy/0000-0003-2547-2496</t>
  </si>
  <si>
    <t>1588-2780</t>
  </si>
  <si>
    <t>10.1007/s10967-007-0611-5</t>
  </si>
  <si>
    <t>WOS:000246184200011</t>
  </si>
  <si>
    <t>Visentainer, JV; Noffs, MD; Carvalho, PDO; de Almeida, VV; de Oliveira, CC; de Souza, NE</t>
  </si>
  <si>
    <t>Visentainer, Jesui Vergilio; Noffs, Maximiliano D'Addio; Carvalho, Patricia de Oliveira; de Almeida, Vanessa Vivian; de Oliveira, Claudio Celestino; de Souza, Nilson Evelazio</t>
  </si>
  <si>
    <t>Lipid content and fatty acid composition of 15 marine fish species from the southeast coast of Brazil</t>
  </si>
  <si>
    <t>JOURNAL OF THE AMERICAN OIL CHEMISTS SOCIETY</t>
  </si>
  <si>
    <t>lipid content; marine fish; fatty acid composition; southeast Brazil</t>
  </si>
  <si>
    <t>FRESH-WATER FISH; HEALTH; OMEGA-3-FATTY-ACIDS; DISEASE</t>
  </si>
  <si>
    <t>Lipid content and fatty acid composition were determined in edible meat of fifteen marine fish species caught on the Southeast Brazilian coast and two from East Antarctic. Most of the fish had lipid amounts lower than 10% of their total weight. Palmitic acid (C16:0) predominated, accounting for 54-63% of the total amount of saturated fatty acids. Oleic acid (C18:1n-9) was the most abundant (49-69%) monounsaturated fatty acid, and docosahexaenoic acid (DHA) was the predominant polyunsaturated fatty acid (PUFA), accounting for 31-84% of n-3 PUFA. n-3 PUFA level were highest in Antarctic fish meat, comprising 45% of the total fatty acid content, which consisted of mainly EPA (16.1 +/- 1.5 g/100 g lipids) and DHA (24.8 +/- 2.4 g/100 g lipids). The amounts of EPA + DHA in g/100 g of lipids on the Southeast Brazilian coast and Antarctic fish species investigated were found to be similar: 42.0 +/- 1.7 for Bonito cachorro, 41.0 +/- 2.3 for Atum. and 39.4 +/- 1.8 for peixe porco, respectively. All the studied species exhibited an n-3/n-6 ratio higher than 3, which confirms the great importance of Southeast Brazilian coast fish as a significant dietary source of n-3 PUFA.</t>
  </si>
  <si>
    <t>Univ Estadual Maringa, Dept Chem, BR-87020900 Parana, Brazil; Univ Sao Francisco, Lab Pesquisa &amp; Posgrad Ciencias Farmaceut, BR-12916900 Braganca Paulista, SP, Brazil</t>
  </si>
  <si>
    <t>Universidade Estadual de Maringa; Universidade Sao Francisco</t>
  </si>
  <si>
    <t>de Souza, NE (corresponding author), Univ Estadual Maringa, Dept Chem, Av Colombo 5790, BR-87020900 Parana, Brazil.</t>
  </si>
  <si>
    <t>nesouza@uem.br</t>
  </si>
  <si>
    <t>visentainer, jesui vergilio/F-7273-2011; de Oliveira Carvalho, Patricia/B-8579-2012; Oliveira, Claudio Celestino/C-3636-2014; Carvalho, Patrícia Sousa Vindeirinho Albuquerque/HCI-2410-2022</t>
  </si>
  <si>
    <t>visentainer, jesui vergilio/0000-0003-3412-897X; Oliveira, Claudio Celestino/0000-0003-4737-4213; Carvalho, Patricia de/0000-0002-2681-7022</t>
  </si>
  <si>
    <t>0003-021X</t>
  </si>
  <si>
    <t>1558-9331</t>
  </si>
  <si>
    <t>J AM OIL CHEM SOC</t>
  </si>
  <si>
    <t>J. Am. Oil Chem. Soc.</t>
  </si>
  <si>
    <t>10.1007/s11746-007-1070-4</t>
  </si>
  <si>
    <t>Chemistry, Applied; Food Science &amp; Technology</t>
  </si>
  <si>
    <t>Chemistry; Food Science &amp; Technology</t>
  </si>
  <si>
    <t>188TX</t>
  </si>
  <si>
    <t>WOS:000247943300006</t>
  </si>
  <si>
    <t>Zellmer, L</t>
  </si>
  <si>
    <t>Zellmer, Linda</t>
  </si>
  <si>
    <t>Encyclopedia of the Antarctic.</t>
  </si>
  <si>
    <t>LIBRARY JOURNAL</t>
  </si>
  <si>
    <t>Indiana Univ Lib, Bloomington, IN 47405 USA</t>
  </si>
  <si>
    <t>Indiana University System; Indiana University Bloomington</t>
  </si>
  <si>
    <t>Zellmer, L (corresponding author), Indiana Univ Lib, Bloomington, IN 47405 USA.</t>
  </si>
  <si>
    <t>Zellmer, Linda/P-5157-2015</t>
  </si>
  <si>
    <t>Zellmer, Linda/0000-0001-8286-7481</t>
  </si>
  <si>
    <t>REED BUSINESS INFORMATION</t>
  </si>
  <si>
    <t>360 PARK AVENUE SOUTH, NEW YORK, NY 10010 USA</t>
  </si>
  <si>
    <t>0363-0277</t>
  </si>
  <si>
    <t>LIBR J</t>
  </si>
  <si>
    <t>Libr. J.</t>
  </si>
  <si>
    <t>Information Science &amp; Library Science</t>
  </si>
  <si>
    <t>175KQ</t>
  </si>
  <si>
    <t>WOS:000247012900200</t>
  </si>
  <si>
    <t>Morley, SA; Peck, LS; Tan, KS; Martin, SM; Pörtner, HO</t>
  </si>
  <si>
    <t>Morley, S. A.; Peck, L. S.; Tan, K. S.; Martin, S. M.; Poertner, H. O.</t>
  </si>
  <si>
    <t>Slowest of the slow:: latitudinal insensitivity of burrowing capacity in the bivalve Laternula</t>
  </si>
  <si>
    <t>TEMPERATURE-DEPENDENT BIOGEOGRAPHY; THERMAL TOLERANCE; ELLIPTICA; MOLLUSKS; WATER; FISH; LIFE</t>
  </si>
  <si>
    <t>Low temperature limits the rate of biochemical reactions and aerobic scopes of cold water ectotherms. To compensate for this limiting effect, animals living in cold environments often possess physiological or morphological adaptations to maintain vital functions. Cross-latitudinal comparison of aerobic capacities is one method to test which factors constrain activity in thermally distinct environments particularly when congeneric studies are carried out on related species with conservative ecology and habitat. Burrowing is a major aerobic activity of bivalve molluscs that is described here for the first time for the tropical mangrove species Laternula truncata and Laternula boschasina and then compared with their Antarctic congener Laternula elliptica. About 80% of L. truncata (16.3-46.1 mm shell length) and 63% of L. boschasina (11.3-27.7 mm shell length) buried within 24 h at 28 degrees C. The burrowing rate index (BRI = [(3)root wet weight/time to bury]x10(4)) ranged between 1.1 and 20.2 for L. boschasina and 1.1-32.9 for L. truncata. These values are 2-3 orders of magnitude less than other tropical bivalve molluscs and are amongst the lowest recorded for any bivalve. Comparisons with the Antarctic L. elliptica showed little or no differences in BRI (Q(10) of 1.0-1.2 for specimens of the same size). This is contrary to the general pattern over a wide range of bivalves, where BRI increases with a Q(10) of between 2.9 and 6.4 between high latitudes and the equator. L. elliptica has 25-30% longer relative foot length than tropical congeners of the same size, which could be a morphological adaptation compensating for reduced burrowing speeds in a colder environment. Burrowing rates within the genus Laternula could, however, also be maintained by differing habitat, ecological and physiological constraints on burrowing capability.</t>
  </si>
  <si>
    <t>British Antarctic Survey, NERC, Cambridge CB3 0ET, England; Natl Univ Singapore, Trop Marine Sci Inst, Singapore 119223, Singapore; Alfred Wegener Inst Polar &amp; Marine Res, D-27515 Bremerhaven, Germany</t>
  </si>
  <si>
    <t>UK Research &amp; Innovation (UKRI); Natural Environment Research Council (NERC); NERC British Antarctic Survey; National University of Singapore; Helmholtz Association; Alfred Wegener Institute, Helmholtz Centre for Polar &amp; Marine Research</t>
  </si>
  <si>
    <t>, Tan KS/HLW-4582-2023; Pörtner, Hans-O./K-9429-2016; Tan, Koh Siang/GOH-0321-2022; Pörtner, Hans-O./ISU-9397-2023</t>
  </si>
  <si>
    <t>Pörtner, Hans-O./0000-0001-6535-6575; Tan, Koh Siang/0000-0002-4599-9482;</t>
  </si>
  <si>
    <t>Natural Environment Research Council [dml011000] Funding Source: researchfish; NERC [dml011000] Funding Source: UKRI</t>
  </si>
  <si>
    <t>10.1007/s00227-007-0610-7</t>
  </si>
  <si>
    <t>169TJ</t>
  </si>
  <si>
    <t>WOS:000246614300020</t>
  </si>
  <si>
    <t>Markowska, M; Kidawa, A</t>
  </si>
  <si>
    <t>Markowska, Marta; Kidawa, Anna</t>
  </si>
  <si>
    <t>Encounters between Antarctic limpets, Nacella concinna, and predatory sea stars, Lysasterias sp., in laboratory and field experiments</t>
  </si>
  <si>
    <t>STRONGYLOCENTROTUS-DROEBACHIENSIS; ESCAPE RESPONSES; AVOIDANCE; GASTROPOD; ISLAND; PREY; ASTEROIDEA; STREBEL; HUNGER; THREAT</t>
  </si>
  <si>
    <t>Antarctic limpets, Nacella concinna, from the Admiralty Bay (King George Island, South Shetlands) for at least part of the year (austral winter) co-exist with predatory sea stars Lysasterias sp. Our laboratory and field experiments established that the presence of Lysasterias sp. or its odour had considerable influence upon their behaviour. Limpets' responses, consisting of shell mushrooming, shell rotation and flight, were distinctly different from their reaction to other stimuli, such as food and conspecific odours, or mechanical stimulation. Moreover, a significant impact of sea star presence on limpets' activity was observed, with limpets fleeing to a distance of 60 cm from the predator. Such reactions allow limpets to lower the incidence of sea star predation, but at the cost of presumptive disrupting of foraging and an additional energy expended for locomotion. A visible difference was noted between two limpet populations, with the rockpool limpets responding only after physical contact with being touched by a sea star, and the subtidal ones responding at a distance of up to 20 cm.</t>
  </si>
  <si>
    <t>Polish Acad Sci, Dept Antarct Biol, PL-02141 Warsaw, Poland</t>
  </si>
  <si>
    <t>Polish Academy of Sciences</t>
  </si>
  <si>
    <t>Markowska, M (corresponding author), Polish Acad Sci, Dept Antarct Biol, Ul Ustrzycka 10, PL-02141 Warsaw, Poland.</t>
  </si>
  <si>
    <t>markowskam@yahoo.com</t>
  </si>
  <si>
    <t>Potocka, Marta/0000-0003-0505-6436</t>
  </si>
  <si>
    <t>10.1007/s00227-007-0633-0</t>
  </si>
  <si>
    <t>WOS:000246614300034</t>
  </si>
  <si>
    <t>Mikhalsky, EV</t>
  </si>
  <si>
    <t>Mikhalsky, E. V.</t>
  </si>
  <si>
    <t>The Tectogenesis Stages of the Antarctic Shield: Review of Geochronological Data</t>
  </si>
  <si>
    <t>MOSCOW UNIVERSITY GEOLOGY BULLETIN</t>
  </si>
  <si>
    <t>HIGH-TEMPERATURE METAMORPHISM; PRINCE-CHARLES MOUNTAINS; HIGH-GRADE METAMORPHISM; EAST ANTARCTICA; U-PB; NAPIER COMPLEX; ENDERBY LAND; ZIRCON AGES; HISTORY; HILLS</t>
  </si>
  <si>
    <t>A review of numerous isotopic-geochronological studies is given. The major attention is paid to modern U-Pb zircon measurements using the SHRIMP method. The major tectogenesis stages recognized in the Antarctic shield are Archean (3800-3300, 3100-2800, and 2550-2450 Ma), Paleoproterozoic (2200-2000 and 1850-1700 Ma), Mesoproterozoic (1400-1250 and 1200-920 Ma), and Neoproterozoic-Early Paleozoic (600-500 Ma). Ancient Eo-and Paleoarchean processes (intrusion of tonalite gneisses protoliths, or metamorphism) took place at Enderby Land, Kemp Land, and the Prince Charles Mountains. At some localities tectonic activity ended at 1700 Ma, at other places reworking or rejuvenation occurred later. Mesoproterozoic tectogenesis was not synchronous. The completion phases of tectonic activity are known to have occurred in different places 1150, 1050, and 980-920 Ma ago. In areas of Mesoproterozoic tectogenesis, evidence of Paleoproterozoic or (rarely) Archean endogene processes is sometimes found. Most likely, this stage refers to the formation of the vast continental block. The Neoproterozoic-Early Paleozoic tectogenesis was practically synchronous over most of the Antarctic shield; on large areas it was characterized by metamorphism and pervasive schistosity, but in many other localities only various granitoids and pegmatites were intruded. Within all the areas of Neoproterozoic-Early Paleozoic tectogenesis isotopic evidence of the earlier (largely Mesoproterozoic) endogene processes are found.</t>
  </si>
  <si>
    <t>Federal Task Program World Ocean (Sub-program Studies and Research of Antarctica)</t>
  </si>
  <si>
    <t>The author thanks B. V. Belyatsky for fruitful discussions, consultations and manuscript consideration. The study was supported by Federal Task Program World Ocean (Sub-program Studies and Research of Antarctica).</t>
  </si>
  <si>
    <t>SPRINGER INTERNATIONAL PUBLISHING AG</t>
  </si>
  <si>
    <t>CHAM</t>
  </si>
  <si>
    <t>GEWERBESTRASSE 11, CHAM, CH-6330, SWITZERLAND</t>
  </si>
  <si>
    <t>0145-8752</t>
  </si>
  <si>
    <t>1934-8436</t>
  </si>
  <si>
    <t>MOSC UNIV GEOL BULL</t>
  </si>
  <si>
    <t>Mosc. Univ. Geol. Bull.</t>
  </si>
  <si>
    <t>10.3103/S0145875207030027</t>
  </si>
  <si>
    <t>V2N2N</t>
  </si>
  <si>
    <t>WOS:000217734000002</t>
  </si>
  <si>
    <t>Sjunneskog, C; Scherer, R; Aldahan, A; Possnert, G</t>
  </si>
  <si>
    <t>Sjunneskog, C.; Scherer, R.; Aldahan, A.; Possnert, G.</t>
  </si>
  <si>
    <t>10Be in glacial marine sediment of the Ross Sea, Antarctica, a potential tracer of depositional environment and sediment chronology</t>
  </si>
  <si>
    <t>NUCLEAR INSTRUMENTS &amp; METHODS IN PHYSICS RESEARCH SECTION B-BEAM INTERACTIONS WITH MATERIALS AND ATOMS</t>
  </si>
  <si>
    <t>10th International Conference on Accelerator Mass Spectrometry</t>
  </si>
  <si>
    <t>SEP 05-10, 2005</t>
  </si>
  <si>
    <t>Univ Calif Berkeley, Berkeley, CA</t>
  </si>
  <si>
    <t>Univ Calif Berkeley</t>
  </si>
  <si>
    <t>Be-10; antarctica; pleistocene; holocene; sediment; accelerator mass spectrometry; glacial; ross sea</t>
  </si>
  <si>
    <t>PLEISTOCENE-HOLOCENE RETREAT; ICE-SHEET SYSTEM; SHELVES; BENEATH</t>
  </si>
  <si>
    <t>Beryllium isotopes ((9)Bc and Be-10) distribution in Holocene and late Pleistocene glacial ice and sediment facies from sub-ice stream and sub-ice shelf settings of the Ross sector of the West Antarctic Ice Sheet (WAIS) and from the open Ross Sea are presented, to assess the temporal and spatial variability of these tracers. Significant variation is detected (&gt; one order of magnitude) among Holocene post-glacial deposits. Late Pleistocene diamictons from bathymetric lows in the Ross Sea show depleted concentrations that are less variable among sites and distinctly lower than bank deposits of similar age. In general, sub-ice shelf and ice stream sediments are the most depleted in Be-10. Be-10 with its longer half-life and different pathways compared apparant to C-14 is found to be a sensitive marker for evaluating the complex spatial and temporal relationships between texturally similar sediments formed by different depositional processes. (c) 2007 Elsevier B.V. All rights reserved.</t>
  </si>
  <si>
    <t>No Illinois Univ, ACCEC, De Kalb, IL 60115 USA; No Illinois Univ, Dept Geol &amp; Environm Geosci, De Kalb, IL 60115 USA; Uppsala Univ, Dept Earth Sci, SE-75836 Uppsala, Sweden; Uppsala Univ, Tandem Lab, SE-75121 Uppsala, Sweden</t>
  </si>
  <si>
    <t>Northern Illinois University; Northern Illinois University; Uppsala University; Uppsala University</t>
  </si>
  <si>
    <t>Sjunneskog, C (corresponding author), Louisiana State Univ, Dept Geol &amp; Geophys, Baton Rouge, LA 70803 USA.</t>
  </si>
  <si>
    <t>charlottems60@yahoo.com</t>
  </si>
  <si>
    <t>0168-583X</t>
  </si>
  <si>
    <t>1872-9584</t>
  </si>
  <si>
    <t>NUCL INSTRUM METH B</t>
  </si>
  <si>
    <t>Nucl. Instrum. Methods Phys. Res. Sect. B-Beam Interact. Mater. Atoms</t>
  </si>
  <si>
    <t>10.1016/j.nimb.2007.01.203</t>
  </si>
  <si>
    <t>Instruments &amp; Instrumentation; Nuclear Science &amp; Technology; Physics, Atomic, Molecular &amp; Chemical; Physics, Nuclear</t>
  </si>
  <si>
    <t>Instruments &amp; Instrumentation; Nuclear Science &amp; Technology; Physics</t>
  </si>
  <si>
    <t>182WV</t>
  </si>
  <si>
    <t>WOS:000247535600104</t>
  </si>
  <si>
    <t>Horiuchi, K; Matsuzaki, H; Ohta, A; Shibata, Y; Motoyama, H</t>
  </si>
  <si>
    <t>Horiuchi, Kazuho; Matsuzaki, Hiroyuki; Ohta, Aoi; Shibata, Yasuyuki; Motoyama, Hideaki</t>
  </si>
  <si>
    <t>Measurement of 26Al in Antarctic ice with the MALT-AMS system at the University of Tokyo</t>
  </si>
  <si>
    <t>aluminum 26; ice core; glaciology; Al-26/Be-10 dating</t>
  </si>
  <si>
    <t>We have attempted to determine the Al-26 concentration of Antarctic ice sampled from the vicinity of the Dome Fuji Research Station using accelerator mass spectrometry (AMS) at MALT (MicroAnalysis Laboratory, Tandem accelerator) of the University of Tokyo. Because the expected concentration of 26 Al in ice is very low, our standard procedure for the AMS measurement was re-examined and refined. The observed Al-26 concentration ranged between 160 and 210 atoms g(-1). The averaged value of the (26)A/Be-10 ratio from two samples was 1.75 +/- 0.19 X 10(-3), which agrees well with recently reported values for the meteoric Al-26/Be-10 ratio from Antarctic ice and air filter residues. This result implies the possibility of future Al-26/Be-10 dating of old Antarctic ice. (c) 2007 Elsevier B.V. All rights reserved.</t>
  </si>
  <si>
    <t>Hirosaki Univ, Fac Sci &amp; Technol, Dept Earth &amp; Environm Sci, Hirosaki, Aomori 0368561, Japan; Univ Tokyo, MALT, Fac Technol, Tokyo, Japan; Natl Inst Environm Studies, Environm Chem Div, Tsukuba, Ibaraki 3058506, Japan; Natl Inst Polar Res, Itabashi Ku, Tokyo 1738515, Japan; Natl Inst Polar Res, Itabashi Ku, Tokyo 1738515, Japan</t>
  </si>
  <si>
    <t>Hirosaki University; University of Tokyo; National Institute for Environmental Studies - Japan; Research Organization of Information &amp; Systems (ROIS); National Institute of Polar Research (NIPR) - Japan; Research Organization of Information &amp; Systems (ROIS); National Institute of Polar Research (NIPR) - Japan</t>
  </si>
  <si>
    <t>Horiuchi, K (corresponding author), Hirosaki Univ, Fac Sci &amp; Technol, Dept Earth &amp; Environm Sci, Hirosaki, Aomori 0368561, Japan.</t>
  </si>
  <si>
    <t>kh@cc.hirosaki-u.ac.jp; hmatsu@n.t.u-tokyo.ac.jp; yshibata@nies.go.jp; motoyama@pmg.nipr.ac.jp</t>
  </si>
  <si>
    <t>Horiuchi, Kazuho/0000-0003-3185-8766</t>
  </si>
  <si>
    <t>10.1016/j.nimb.2007.01.240</t>
  </si>
  <si>
    <t>WOS:000247535600111</t>
  </si>
  <si>
    <t>Welten, KC; Hillegonds, DJ; Masarik, J; Nishiizumi, K</t>
  </si>
  <si>
    <t>Welten, K. C.; Hillegonds, D. J.; Masarik, J.; Nishiizumi, K.</t>
  </si>
  <si>
    <t>Cosmogenic 41Ca in diogenites:: Production rates, pre-atmospheric size and terrestrial ages</t>
  </si>
  <si>
    <t>cosmogenic nuclides; Ca-41; diogenites; production rate; pre-atmospheric size; Antarctic meteorites; terrestrial age</t>
  </si>
  <si>
    <t>NEUTRON-FLUX; METEORITE; SPALLATION; HISTORY; GRANT</t>
  </si>
  <si>
    <t>We measured concentrations of cosmogenic Ca-41 in 37 diogenites, including 8 falls and 29 Antarctic finds, using accelerator mass spectrometry (AMS). The measured Ca-41 concentrations in falls range from 2.8 to 9.3 dpm/kg, those in Antarctic finds range from 1.6 to 28 dpm/kg. The Ca-41 concentrations in four of the falls agree within 10% with estimated saturation values based on spallation from Ti, Cr, Mn and the main target element, Fe. Four other diogenite falls and several Antarctic finds show elevated Ca-41 concentrations, which are attributed to capture of thermal neutrons on Ca-40. The neutron-capture Ca-41 contributions range from 0.1 to 1.5 dpm/g Ca. Monte Carlo based model calculations show that contributions of neutron-capture Ca-41 are negligible (&lt; 0.05 dpm/g Ca) in diogenites with pre-atmospheric radii &lt; 20 cm, but become dominant in diogenites larger than 30 cm in radius and reach a maximum value of similar to 5.6 dpm/g Ca in the center of objects with radii of 80-100 cm. The contributions of neutron-capture Ca-41 in diogenites were used to constrain their pre-atmospheric radii. Many Antarctic diogenites show low Ca-41 concentrations, up to 60% below the saturation value determined for falls. From these low Ca-41 concentrations we derive terrestrial ages up to similar to 135 kyr. We compare these terrestrial ages with those of other Antarctic achondrites and Antarctic chondrites and discuss the role of terrestrial weathering in limiting the lifetime of meteorites failing in different environments, i.e. Antarctic versus hot desert conditions. (c) 2007 Elsevier B.V. All rights reserved.</t>
  </si>
  <si>
    <t>Univ Calif Berkeley, Space Sci Lab, Berkeley, CA 94720 USA; Lawrence Livermore Natl Lab, Ctr Accelerator Mass Spectrometry, Livermore, CA 94550 USA; Comenius Univ, Dept Nucl Phys, Bratislava, Slovakia</t>
  </si>
  <si>
    <t>University of California System; University of California Berkeley; United States Department of Energy (DOE); Lawrence Livermore National Laboratory; Comenius University Bratislava</t>
  </si>
  <si>
    <t>Welten, KC (corresponding author), Univ Calif Berkeley, Space Sci Lab, Berkeley, CA 94720 USA.</t>
  </si>
  <si>
    <t>kcwelten@berkeley.edu</t>
  </si>
  <si>
    <t>masarik, jozef/IRZ-6697-2023; Masarik, Jozef/A-8008-2018</t>
  </si>
  <si>
    <t>Welten, Kees/0000-0001-8577-6753</t>
  </si>
  <si>
    <t>10.1016/j.nimb.2007.01.204</t>
  </si>
  <si>
    <t>WOS:000247535600117</t>
  </si>
  <si>
    <t>C</t>
  </si>
  <si>
    <t>Landsman, H</t>
  </si>
  <si>
    <t>Landsman, H.</t>
  </si>
  <si>
    <t>AURA Collaboration</t>
  </si>
  <si>
    <t>AURA - next generation neutrino detector in the South Pole.</t>
  </si>
  <si>
    <t>NUCLEAR PHYSICS B-PROCEEDINGS SUPPLEMENTS</t>
  </si>
  <si>
    <t>Proceedings Paper</t>
  </si>
  <si>
    <t>Neutrino Oscillation Workshop (NOW 2006)</t>
  </si>
  <si>
    <t>SEP 09-15, 2006</t>
  </si>
  <si>
    <t>Otranto, ITALY</t>
  </si>
  <si>
    <t>The quest for ultra high energy neutrinos requires detectors with very large effective volume, and a long exposure. Due to the attenuation of light in ice and water, and the cost of building and deploying optical detectors in extreme environments, complementary detection techniques such as radio frequency or acoustic waves are useful. The proposed AURA experiment aims to detect the radio frequency emissions resulting from the Askaryan effect of neutrino interactions in the Antarctic ice. Based on the success of the RICE experiment, together with technology developed for IceCube and ANITA detectors, we are on our way towards a 10-100 kilometer array of radio detectors. In the coming austral summer, antenna clusters will be co-deployed with IceCube strings.</t>
  </si>
  <si>
    <t>Univ Wisconsin, Dept Phys, Madison, WI 53706 USA</t>
  </si>
  <si>
    <t>University of Wisconsin System; University of Wisconsin Madison</t>
  </si>
  <si>
    <t>Landsman, H (corresponding author), Univ Wisconsin, Dept Phys, Madison, WI 53706 USA.</t>
  </si>
  <si>
    <t>hagar.landsman@icecube.wisc.edu</t>
  </si>
  <si>
    <t>0920-5632</t>
  </si>
  <si>
    <t>1873-3832</t>
  </si>
  <si>
    <t>NUCL PHYS B-PROC SUP</t>
  </si>
  <si>
    <t>Nucl. Phys. B-Proc. Suppl.</t>
  </si>
  <si>
    <t>10.1016/j.nuclphysbps.2007.02.085</t>
  </si>
  <si>
    <t>Physics, Particles &amp; Fields</t>
  </si>
  <si>
    <t>Conference Proceedings Citation Index - Science (CPCI-S)</t>
  </si>
  <si>
    <t>182WY</t>
  </si>
  <si>
    <t>WOS:000247535900061</t>
  </si>
  <si>
    <t>Hollibaugh, JT; Lovejoy, C; Murray, AE</t>
  </si>
  <si>
    <t>Hollibaugh, James T.; Lovejoy, Connie; Murray, Alison E.</t>
  </si>
  <si>
    <t>Microbiology in Polar Oceans</t>
  </si>
  <si>
    <t>OCEANOGRAPHY</t>
  </si>
  <si>
    <t>MARINE PLANKTONIC BACTERIA; ANTARCTIC SEA-ICE; ARCTIC-OCEAN; COMMUNITY STRUCTURE; COASTAL WATERS; PHYLOGENETIC COMPOSITION; ARCHAEAL ASSEMBLAGES; ORGANIC-MATTER; NORTH WATER; ROSS SEA</t>
  </si>
  <si>
    <t>[Hollibaugh, James T.] Univ Georgia, Dept Marine Sci, Athens, GA 30602 USA; [Lovejoy, Connie] Univ Laval, Dept Biol, Quebec City, PQ G1K 7P4, Canada; [Murray, Alison E.] Univ Nevada, Reno, NV 89557 USA</t>
  </si>
  <si>
    <t>University System of Georgia; University of Georgia; Laval University; Nevada System of Higher Education (NSHE); University of Nevada Reno</t>
  </si>
  <si>
    <t>Hollibaugh, JT (corresponding author), Univ Georgia, Dept Marine Sci, Athens, GA 30602 USA.</t>
  </si>
  <si>
    <t>aquadoc@uga.edu</t>
  </si>
  <si>
    <t>Lovejoy, Connie/A-3756-2008</t>
  </si>
  <si>
    <t>Lovejoy, Connie/0000-0001-8027-2281</t>
  </si>
  <si>
    <t>NSF [OPP-0234249]; Natural Sciences and Engineering Research Council of Canada (NSERC); Fonds Quebecois de Recherche sur la Nature et les Technologies (FQRNT); [OPP-0085435]</t>
  </si>
  <si>
    <t>NSF(National Science Foundation (NSF)); Natural Sciences and Engineering Research Council of Canada (NSERC)(Natural Sciences and Engineering Research Council of Canada (NSERC)); Fonds Quebecois de Recherche sur la Nature et les Technologies (FQRNT)(FQRNT);</t>
  </si>
  <si>
    <t>JTH's contribution was supported by NSF OPP-0234249. CL is grateful for Support from Natural Sciences and Engineering Research Council of Canada (NSERC), and Fonds Quebecois de Recherche sur la Nature et les Technologies (FQRNT). AEM was supported in part by OPP-0085435.</t>
  </si>
  <si>
    <t>OCEANOGRAPHY SOC</t>
  </si>
  <si>
    <t>ROCKVILLE</t>
  </si>
  <si>
    <t>P.O. BOX 1931, ROCKVILLE, MD USA</t>
  </si>
  <si>
    <t>1042-8275</t>
  </si>
  <si>
    <t>10.5670/oceanog.2007.59</t>
  </si>
  <si>
    <t>382XG</t>
  </si>
  <si>
    <t>WOS:000261638100024</t>
  </si>
  <si>
    <t>Polnikov, VG; Lavrenov, IV</t>
  </si>
  <si>
    <t>Polnikov, V. G.; Lavrenov, I. V.</t>
  </si>
  <si>
    <t>Calculation of the nonlinear energy transfer through the wave spectrum at the sea surface covered with broken ice</t>
  </si>
  <si>
    <t>GRAVITY-WAVES</t>
  </si>
  <si>
    <t>The nonlinear energy transfer through the wave spectrum is studied on the basis of the previously obtained explicit equation for matrix elements of a four-wave kinetic integral. The equation describes the evolution of a system of gravity waves at the surface of a sea of finite depth with a uniform distribution of broken ice over the sea surface. Particular attention is paid to the analytical part of the algorithm of the calculation of the kinetic integral. This part differs from the standard algorithm by a set of prominent features of the dispersion relation for wave oscillations in the ice-covered water. The kinetic integral for the system under consideration is calculated, and the results are compared with the results obtained for the ice-free water.</t>
  </si>
  <si>
    <t>Obukhov Inst Atmospher Phys, Moscow, Russia; Russian Acad Sci, Arctic &amp; Antarctic Res Inst, St Petersburg, Russia</t>
  </si>
  <si>
    <t>Russian Academy of Sciences; Obukhov Institute of Atmospheric Physics of Russian Academy of Sciences; Russian Academy of Sciences; Arctic &amp; Antarctic Research Institute</t>
  </si>
  <si>
    <t>Polnikov, VG (corresponding author), Obukhov Inst Atmospher Phys, Moscow, Russia.</t>
  </si>
  <si>
    <t>polnikov@mail.ru</t>
  </si>
  <si>
    <t>10.1134/S0001437007030058</t>
  </si>
  <si>
    <t>189QO</t>
  </si>
  <si>
    <t>WOS:000248003800005</t>
  </si>
  <si>
    <t>Borodkin, SO; Korzhikova, LI</t>
  </si>
  <si>
    <t>Borodkin, S. O.; Korzhikova, L. I.</t>
  </si>
  <si>
    <t>Seasonal variations in the component structure of the total phosphorus in the bodies of Antarctic amphipods</t>
  </si>
  <si>
    <t>SEAWATER</t>
  </si>
  <si>
    <t>Using the procedure of sequential multistage acidic hydrolysis at different temperatures, eight fractions of the total phosphorus were separated from the bodies of Antarctic amphipods. The results showed that the variations of the phosphorus concentrations in the principal fractions within the zooplankton organisms are characterized by seasonal variations complying with the periods of the amphipod life cycle. The prospects of these biochemical studies consist in the discovery of new mechanisms explaining some problems not only of seasonal but also of diurnal physiology of plankton organisms.</t>
  </si>
  <si>
    <t>Borodkin, SO (corresponding author), Russian Acad Sci, PP Shirshov Oceanol Inst, Moscow, Russia.</t>
  </si>
  <si>
    <t>10.1134/S0001437007030095</t>
  </si>
  <si>
    <t>WOS:000248003800009</t>
  </si>
  <si>
    <t>Ruiz, J; Montoya, L; López, V; Amils, R</t>
  </si>
  <si>
    <t>Ruiz, Javier; Montoya, Lilia; Lopez, Valle; Amils, Ricardo</t>
  </si>
  <si>
    <t>Thermal diapirism and the habitability of the ley shell of Europa</t>
  </si>
  <si>
    <t>ORIGINS OF LIFE AND EVOLUTION OF BIOSPHERES</t>
  </si>
  <si>
    <t>astrobiology; compatible solutes; Europa; habitability; thermal diapirism</t>
  </si>
  <si>
    <t>ANTARCTIC HABITATS; COMPATIBLE SOLUTES; GEOLOGICAL HISTORY; SUBSURFACE OCEAN; ICE SHELL; HEAT-FLOW; LIFE; CONVECTION; REGION; PSYCHROPHILES</t>
  </si>
  <si>
    <t>Europa's chaos and lenticulae features may have originated by thermal diapirs related to convective plumes. Warm ice plumes could be habitable, since their temperature is close to the ice melting temperature. Moreover, thermal plumes intruding into the lower stagnant lid warm several kilometers of country ice above 230 K for periods of 105 years, and hundreds of meters above 240 K for periods of 104 years. Diapir coalescence generating chaos areas should provide a large zone with temperature above similar to 240 K for thousands of years. A temperature above similar to 230 K is potentially interesting for astrobiology, since it corresponds to the lowest temperature at which microbial metabolic activity in Antarctic ice has been reported. So, the warming by thermal plumes could cause an aureole of biological activation/reactivation in the country ice. Adaptation of life to either high salinity or low temperature is similar: it requires the synthesis of compatible solutes, like trehalose or glycerol, which are efficient cryoprotectants. We therefore propose that the future astrobiological exploration of Europa should include the search for compatible solutes in chaos and lenticulae features.</t>
  </si>
  <si>
    <t>CSIC, Inst Astrofis Andalucia, E-18008 Granada, Spain; Univ Autonoma Madrid, CSIC, Ctr Biol Mol, E-28049 Madrid, Spain; Univ Complutense Madrid, Fac Ciencias Geol, Seminario Ciencias Planetarias, E-28040 Madrid, Spain; INTA, Ctr Astrobiol, Madrid 28855, Spain</t>
  </si>
  <si>
    <t>Consejo Superior de Investigaciones Cientificas (CSIC); CSIC - Instituto de Astrofisica de Andalucia (IAA); Consejo Superior de Investigaciones Cientificas (CSIC); CSIC - Centro de Biologia Molecular Severo Ochoa (CBM); Autonomous University of Madrid; Complutense University of Madrid; Consejo Superior de Investigaciones Cientificas (CSIC); CSIC - Centro de Astrobiologia (INTA)</t>
  </si>
  <si>
    <t>Ruiz, J (corresponding author), CSIC, Inst Astrofis Andalucia, Camino Bajo Huetor 50, E-18008 Granada, Spain.</t>
  </si>
  <si>
    <t>ruiz@iaa.es</t>
  </si>
  <si>
    <t>Amils, Ricardo/X-2706-2019; Montoya Lorenzana, Lilia/JWP-0160-2024; Ruiz, Javier/P-3975-2015</t>
  </si>
  <si>
    <t>Montoya Lorenzana, Lilia/0000-0002-4195-9571; Ruiz, Javier/0000-0002-3937-8380</t>
  </si>
  <si>
    <t>0169-6149</t>
  </si>
  <si>
    <t>1573-0875</t>
  </si>
  <si>
    <t>ORIGINS LIFE EVOL B</t>
  </si>
  <si>
    <t>Orig. Life Evol. Biosph.</t>
  </si>
  <si>
    <t>10.1007/s11084-007-9068-3</t>
  </si>
  <si>
    <t>179QS</t>
  </si>
  <si>
    <t>WOS:000247305500007</t>
  </si>
  <si>
    <t>Pérez-Torres, E; Bravo, LA; Corcuera, LJ; Johnson, GN</t>
  </si>
  <si>
    <t>Perez-Torres, Eduardo; Bravo, Leon A.; Corcuera, Luis J.; Johnson, Giles N.</t>
  </si>
  <si>
    <t>Is electron transport to oxygen an important mechanism in photoprotection?: Contrasting responses from Antarctic vascular plants</t>
  </si>
  <si>
    <t>PHYSIOLOGIA PLANTARUM</t>
  </si>
  <si>
    <t>MEHLER-PEROXIDASE REACTION; WATER-WATER CYCLE; PHOTOSYSTEM-II; DESCHAMPSIA-ANTARCTICA; COLOBANTHUS-QUITENSIS; ABSORBENCY CHANGES; LOW-TEMPERATURE; QUANTUM YIELD; REDOX STATE; HIGH LIGHT</t>
  </si>
  <si>
    <t>Photoreduction of oxygen by the photosynthetic electron transport chain has been suggested to be an important process in protecting leaves from excess light under conditions of stress; however, there is little evidence that this process occurs significantly except when plants are exposed to conditions outside their normal tolerance range. We have examined the oxygen dependency of photosynthetic electron transport in the two vascular plants found growing in Antarctica - Colobanthus quitensis and Deschampsia antarctica. Photosynthetic electron transport in C. quitensis is insensitive to changes in oxygen concentration under non-photorespiratory conditions, indicating that electron transport to oxygen is negligible; however, it has a substantial capacity for non-photochemical quenching (NPQ) of chlorophyll fluorescence. In contrast, D. antarctica has up to 30% of its photosynthetic electron transport being linked to oxygen, but has a substantially lower capacity for NPQ. Thus, these plants rely on contrasting photoprotective mechanisms to cope with the Antarctic environment. Both plants seem to use cyclic electron flow associated with PSI, however, this is activated at a lower irradiance in C. quitensis than in D. antarctica.</t>
  </si>
  <si>
    <t>Univ Concepcion, Fac Ciencias Nat &amp; Oceanog, DepBot, Concepcion, Chile; Univ Manchester, Fac Life Sci, Manchester M13 9PT, Lancs, England</t>
  </si>
  <si>
    <t>Universidad de Concepcion; University of Manchester</t>
  </si>
  <si>
    <t>Corcuera, LJ (corresponding author), Univ Concepcion, Fac Ciencias Nat &amp; Oceanog, DepBot, Casilla 160-C, Concepcion, Chile.</t>
  </si>
  <si>
    <t>lcorcuer@udec.cl</t>
  </si>
  <si>
    <t>Bravo, León/AAO-8437-2020; Bravo, Leon/H-9251-2018; Corcuera, Luis J/G-1714-2014</t>
  </si>
  <si>
    <t>Bravo, León/0000-0003-4705-4842; Bravo, Leon/0000-0003-4705-4842; Johnson, Giles Nicholas/0000-0003-1536-5582</t>
  </si>
  <si>
    <t>0031-9317</t>
  </si>
  <si>
    <t>1399-3054</t>
  </si>
  <si>
    <t>PHYSIOL PLANTARUM</t>
  </si>
  <si>
    <t>Physiol. Plant.</t>
  </si>
  <si>
    <t>10.1111/j.1399-3054.2007.00899.x</t>
  </si>
  <si>
    <t>166GX</t>
  </si>
  <si>
    <t>WOS:000246367500002</t>
  </si>
  <si>
    <t>Adams, BJ; Wall, DH; Gozel, U; Dillman, AR; Chaston, JM; Hogg, ID</t>
  </si>
  <si>
    <t>Adams, B. J.; Wall, D. H.; Gozel, U.; Dillman, A. R.; Chaston, J. M.; Hogg, I. D.</t>
  </si>
  <si>
    <t>The southernmost worm, Scottnema lindsayae (Nematoda):: diversity, dispersal and ecological stability</t>
  </si>
  <si>
    <t>MCMURDO DRY VALLEYS; TRANSCRIBED SPACER REGION; SOIL INVERTEBRATES; VICTORIA LAND; COMMUNITY STRUCTURE; ANTARCTIC SOIL; LIFE-CYCLE; ANHYDROBIOSIS; TIMM; ICE</t>
  </si>
  <si>
    <t>The nematode worm Scottnema lindsayae (Cephalobidae) was found near the base of the Beardmore Glacier in the Transantarctic Mountains 83.48 degrees S, over 5 degrees further south than previously recorded. Identification was confirmed using morphological analyses of males, females and juvenile stages, and by DNA sequencing of the ITS1 region of the ribosomal RNA tandem repeat unit. These data revealed no discernable morphological or ITS rDNA sequence variation between the extreme southern population of S. lindsayae and disparate populations from the McMurdo Dry Valleys in south Victoria Land (77-78 degrees S). Based on these results, we suggest that broadcast dispersal, with accompanying high rates of gene flow, establish the extreme southern distribution of the phylum Nematoda. High abundance, low rates of diversification and lack of an apparent biogeographic structure across latitudinal and environmental gradients implies that their presence in simple Antarctic soil ecosystems is stable, so long as physical and biological controls on their distributions remain within viable parameters. Recent evidence that S. lindsayae populations are in decline suggests that their high dispersal rates are insufficient to buffer current, unfavorable environmental changes and may foreshadow longer-term ecosystem disruption.</t>
  </si>
  <si>
    <t>Brigham Young Univ, Microbiol &amp; Mol Biol Dept, Provo, UT 84602 USA; Brigham Young Univ, Evolut Ecol Labs, Provo, UT 84602 USA; Colorado State Univ, Nat Resource Ecol Lab, Ft Collins, CO 80523 USA; Colorado State Univ, Dept Biol, Ft Collins, CO 80523 USA; Univ Canakkale Onsekiz Mart, Fac Agr, Dept Plant Protect, TR-17100 Canakkle, Turkey; Univ Waikato, Dept Biol Sci, Ctr Biodivers &amp; Ecol Res, Hamilton, New Zealand</t>
  </si>
  <si>
    <t>Brigham Young University; Brigham Young University; Colorado State University; Colorado State University; Canakkale Onsekiz Mart University; University of Waikato</t>
  </si>
  <si>
    <t>Adams, BJ (corresponding author), Brigham Young Univ, Microbiol &amp; Mol Biol Dept, 775 WIDB, Provo, UT 84602 USA.</t>
  </si>
  <si>
    <t>bjadams@byu.edu</t>
  </si>
  <si>
    <t>Wall, Diana H/F-5491-2011; Dillman, Adler/H-6737-2019; Hogg, Ian D./HNS-7393-2023; Adams, Byron/C-3808-2009</t>
  </si>
  <si>
    <t>Dillman, Adler/0000-0001-7171-4332; Hogg, Ian D./0000-0002-6685-0089; Adams, Byron/0000-0002-7815-3352</t>
  </si>
  <si>
    <t>10.1007/s00300-006-0241-3</t>
  </si>
  <si>
    <t>166PO</t>
  </si>
  <si>
    <t>WOS:000246391400001</t>
  </si>
  <si>
    <t>Sargian, P; Mas, S; Pelletier, É; Demers, S</t>
  </si>
  <si>
    <t>Sargian, Peggy; Mas, Sebastien; Pelletier, Emilien; Demers, Serge</t>
  </si>
  <si>
    <t>Multiple stressors on an Antarctic microplankton assemblage:: water soluble crude oil and enhanced UVBR level at Ushuaia (Argentina)</t>
  </si>
  <si>
    <t>ultraviolet-B radiation; water soluble crude oil; marine bacteria and phytoplankton; synergistic effects; Cryptomonas sp</t>
  </si>
  <si>
    <t>ULTRAVIOLET-B RADIATION; POLYCYCLIC AROMATIC-HYDROCARBONS; 3 LATITUDES CANADA; MARINE-PHYTOPLANKTON; SOLAR-RADIATION; DNA-DAMAGE; TOXICITY; PHOTOSYNTHESIS; FLUORESCENCE; PHOTOMODIFICATION</t>
  </si>
  <si>
    <t>Changes in phytoplankton pigment content, in vivo fluorescence as well as in abundance and cell characteristics of phyto- and bacterioplankton were investigated on a field-collected microplankton assemblage from Ushuaia Bay (Southern Argentina). Effects of different experimental treatments were examined: natural and enhanced ultraviolet-B radiation (UVBR: 280-320 nm) exposures, and water soluble fraction (WSF) of crude oil contamination under both UVBR exposures. After a 5-day exposure to experimental treatments in microcosms, significant UVBR-induced deleterious effects were observed with afternoon depression of the photochemical yield followed by night-time recovery. A significant increase in photoprotective pigments (PPCs) was also observed. Due to their smaller size, picophytoplankton cells appeared to be more impacted than nanophytoplankton cells as revealed by their increasing mean cell size and decreasing growth rate implying a perturbation of the cell cycle. On the other hand, the differential response between the two bacterial sub-populations identified (i.e., as sub-populations 1 and 2 according to their cellular characteristics) suggests a higher vulnerability for only one of these sub-populations to UVBR stress. WSF alone was also shown to induce deleterious effects on phytoplankton assemblage. Nevertheless, bacteria were positively affected, and particularly bacterial sub-population 2. The combination of WSF and enhanced UVBR exposure resulted in an exacerbation of these individual effects, demonstrating a synergistic effect of both stresses. Moreover, Cryptomonas sp. were observed to develop only under dual stresses in response to their capacity to switch between phototrophic and mixotrophic states following stressed conditions. In situ studies with natural communities provided a unique tool for determining the short-term biological response of microplankton assemblages exposed to multiple stressors.</t>
  </si>
  <si>
    <t>Univ Quebec, ISMER, Rimouski, PQ G5L 3A1, Canada</t>
  </si>
  <si>
    <t>University of Quebec</t>
  </si>
  <si>
    <t>Pelletier, É (corresponding author), Univ Quebec, ISMER, 310 Allee Ursulines, Rimouski, PQ G5L 3A1, Canada.</t>
  </si>
  <si>
    <t>emilien_pelletier@uqar.qc.ca</t>
  </si>
  <si>
    <t>10.1007/s00300-006-0243-1</t>
  </si>
  <si>
    <t>WOS:000246391400003</t>
  </si>
  <si>
    <t>Park, TG; Bell, EM; Pearce, I; Rublee, PA; Bolch, CJS; Hallegraeff, GM</t>
  </si>
  <si>
    <t>Park, Tae-Gyu; Bell, Elanor M.; Pearce, Imojen; Rublee, Parke A.; Bolch, Christopher J. S.; Hallegraeff, Gustaaf M.</t>
  </si>
  <si>
    <t>Detection of a novel ecotype of Pfiesteria piscicida (Dinophyceae) in an Antarctic saline lake by real-time PCR</t>
  </si>
  <si>
    <t>VESTFOLD HILLS; IDENTIFICATION; DINOFLAGELLATE; MIXOTROPHY; EVOLUTION; SHUMWAYAE; SPP.; BAY</t>
  </si>
  <si>
    <t>The heterotrophic dinoflagellate Pfiesteria piscicida was detected in Ace Lake in the Vestfold Hills, eastern Antarctica by using real-time PCR based on 18S rDNA sequences. Antarctic water samples collected in 2004 were tested by species-specific real-time PCR assays for the identification of P. piscicida and P. shumwayae. Positive results were shown with P. piscicida-specific real-time PCR, and PCR products were examined by sequence analysis for confirmation. A phylogenetic tree made from partial 18S rDNA sequences showed that the Antarctic clone clustered with P. piscicida. This result suggests that P. piscicida is present in the extreme conditions of an Antarctic saline lake which has not contained fish for thousands of years.</t>
  </si>
  <si>
    <t>Univ Tasmania, Sch Plant Sci, Hobart, Tas 7001, Australia; Univ Tasmania, Sch Aquaculture, Launceston, Tas 7250, Australia; Univ N Carolina, Dept Biochem, Greensboro, NC 27402 USA; Australian Antarctic Div, Kingston, Tas 7050, Australia; Univ Potsdam, Dept Ecol &amp; Ecosyst Modelling, D-14469 Potsdam, Germany; Univ Tasmania, Sch Plant Sci, Hobart, Tas 7001, Australia</t>
  </si>
  <si>
    <t>University of Tasmania; University of Tasmania; University of North Carolina; University of North Carolina Greensboro; Australian Antarctic Division; University of Potsdam; University of Tasmania</t>
  </si>
  <si>
    <t>Hallegraeff, GM (corresponding author), Univ Tasmania, Sch Plant Sci, Private Bag 55, Hobart, Tas 7001, Australia.</t>
  </si>
  <si>
    <t>Hallegraeff@utas.edu.au</t>
  </si>
  <si>
    <t>Bolch, Christopher J/J-7619-2014; Hallegraeff, Gustaaf/C-8351-2013</t>
  </si>
  <si>
    <t>Hallegraeff, Gustaaf/0000-0001-8464-7343</t>
  </si>
  <si>
    <t>10.1007/s00300-006-0244-0</t>
  </si>
  <si>
    <t>WOS:000246391400004</t>
  </si>
  <si>
    <t>Rehm, P; Thatje, S; Mühlenhardt-Siegel, U; Brandt, A</t>
  </si>
  <si>
    <t>Rehm, Peter; Thatje, Sven; Muehlenhardt-Siegel, Ute; Brandt, Angelika</t>
  </si>
  <si>
    <t>Composition and distribution of the peracarid crustacean fauna along a latitudinal transect off Victoria Land (Ross Sea, Antarctica) with special emphasis on the Cumacea</t>
  </si>
  <si>
    <t>diversity; Cumacea; benthos; Antarctica; Ross Sea</t>
  </si>
  <si>
    <t>WEDDELL SEA; EPIBENTHIC SLEDGE; MALACOSTRACA; WATERS; LEUCONIDAE; DIVERSITY; ISLANDS; ISOPODA; ORIGIN</t>
  </si>
  <si>
    <t>The following study was the first to describe composition and structure of the peracarid fauna systematically along a latitudinal transect off Victoria Land (Ross Sea, Antarctica). During the 19th Antarctic expedition of the Italian research vessel Italica in February 2004, macrobenthic samples were collected by means of a Rauschert dredge with a mesh size of 500 mu m at depths between 85 and 515 m. The composition of peracarid crustaceans, especially Cumacea was investigated. Peracarida contributed 63% to the total abundance of the fauna. The peracarid samples were dominated by amphipods (66%), whereas cumaceans were represented with 7%. Previously, only 13 cumacean species were known, now the number of species recorded from the Ross Sea increased to 34. Thus, the cumacean fauna of the Ross Sea, which was regarded as the poorest in terms of species richness, has to be considered as equivalent to that of other high Antarctic areas. Most important cumacean families concerning abundance and species richness were Leuconidae, Nannastacidae, and Diastylidae. Cumacean diversity was lowest at the northernmost area (Cape Adare). At the area off Coulman Island, which is characterized by muddy sediment, diversity was highest. Diversity and species number were higher at the deeper stations and abundance increased with latitude. A review of the bathymetric distribution of the Cumacea from the Ross Sea reveals that most species distribute across the Antarctic continental shelf and slope. So far, only few deep-sea records justify the assumption of a shallow-water-deep-sea relationship in some species of Ross Sea Cumacea, which is discussed from an evolutionary point of view.</t>
  </si>
  <si>
    <t>AWI, Marine Ecol, D-27568 Bremerhaven, Germany; Univ Southampton, Sch Ocean &amp; Earth Sci, Natl Oceanog Ctr, Southampton SO14 EZH, Hants, England; Univ Hamburg, Zool Inst, D-20146 Hamburg, Germany; Univ Hamburg, Zool Museum, D-20146 Hamburg, Germany</t>
  </si>
  <si>
    <t>Helmholtz Association; Alfred Wegener Institute, Helmholtz Centre for Polar &amp; Marine Research; NERC National Oceanography Centre; University of Southampton; University of Hamburg; University of Hamburg</t>
  </si>
  <si>
    <t>Rehm, P (corresponding author), AWI, Marine Ecol, Alten Hafen 26, D-27568 Bremerhaven, Germany.</t>
  </si>
  <si>
    <t>peter.rehm@awi.de</t>
  </si>
  <si>
    <t>Brandt, Angelika/C-1630-2018</t>
  </si>
  <si>
    <t>10.1007/s00300-006-0247-x</t>
  </si>
  <si>
    <t>WOS:000246391400007</t>
  </si>
  <si>
    <t>Allcock, AL; Strugnell, JM; Prödohl, P; Piatkowski, U; Vecchione, M</t>
  </si>
  <si>
    <t>Allcock, A. L.; Strugnell, J. M.; Prodohl, P.; Piatkowski, U.; Vecchione, M.</t>
  </si>
  <si>
    <t>A new species of Pareledone (Cephalopoda: Octopodidae) from Antarctic Peninsula Waters</t>
  </si>
  <si>
    <t>systematics; Pareledone felix; Octopodidae; molecular phylogeny; Antarctic Peninsula</t>
  </si>
  <si>
    <t>GENUS</t>
  </si>
  <si>
    <t>During recent cruises aboard RV Polarstern in the Antarctic Peninsula region, a new species of benthic octopodid was discovered whose generic affinities based on morphological characteristics were uncertain. Molecular sequence analysis of six mitochondrial and nuclear genes allows this species to be placed with confidence within the genus Pareledone. The species is described herein and morphological diagnostic characters are provided for its identification.</t>
  </si>
  <si>
    <t>GEOMAR, IFM, Lebniz Inst Meereswissenschaften, FB Marine Onkol, D-24105 Kiel, Germany; Queens Univ Belfast, Sch Biol Sci, Belfast BT9 7BL, Antrim, North Ireland; British Antarctic Survey, Nat Environm Res Council, Cambridge CB3 0ET, England; Natl Museum Nat Hist, NMFS Natl Syst Lab, Washington, DC 20013 USA</t>
  </si>
  <si>
    <t>Helmholtz Association; GEOMAR Helmholtz Center for Ocean Research Kiel; Queens University Belfast; UK Research &amp; Innovation (UKRI); Natural Environment Research Council (NERC); NERC British Antarctic Survey; Smithsonian Institution; Smithsonian National Museum of Natural History; National Oceanic Atmospheric Admin (NOAA) - USA</t>
  </si>
  <si>
    <t>Piatkowski, U (corresponding author), GEOMAR, IFM, Lebniz Inst Meereswissenschaften, FB Marine Onkol, Dusternbrooker Weg 20, D-24105 Kiel, Germany.</t>
  </si>
  <si>
    <t>upiatkowski@ifm-geomar.de</t>
  </si>
  <si>
    <t>Strugnell, Jan/C-5522-2008; Strugnell, Jan/B-1698-2010; Strugnell, Jan M/P-9921-2016; Allcock, Louise/A-7359-2012; Piatkowski, Uwe/G-4161-2011</t>
  </si>
  <si>
    <t>Allcock, Louise/0000-0002-4806-0040; Strugnell, Jan/0000-0003-2994-637X; Piatkowski, Uwe/0000-0003-1558-5817; Prodohl, Paulo/0000-0001-8570-9964</t>
  </si>
  <si>
    <t>Natural Environment Research Council [NE/C506321/1] Funding Source: researchfish</t>
  </si>
  <si>
    <t>10.1007/s00300-006-0248-9</t>
  </si>
  <si>
    <t>WOS:000246391400008</t>
  </si>
  <si>
    <t>Kim, JH; Ahn, IY; Lee, KS; Chung, HS; Choi, HG</t>
  </si>
  <si>
    <t>Kim, Ji Hee; Ahn, In-Young; Lee, Kyu Song; Chung, Hosung; Choi, Han-Gu</t>
  </si>
  <si>
    <t>Vegetation of Barton Peninsula in the neighbourhood of King Sejong Station (King George Island, maritime Antarctic)</t>
  </si>
  <si>
    <t>SOUTH SHETLAND-ISLANDS; WEST ANTARCTICA; PLANTS; SOILS</t>
  </si>
  <si>
    <t>Plant communities were studied on Barton Peninsula around King Sejong Station on King George Island, maritime Antarctic. The objective of this study was to document the occurrence and distribution of plant assemblages to provide the bases for monitoring the effects of environmental changes and human impact on the vegetation of this area. Approximately 47% of the investigated area was covered by vegetation. Crustose lichens showed the highest mean cover (21%) among vegetation components. The total mean cover of the four dominant taxa, together with the other three major subdominant components, i.e., Usnea spp., Andreaea spp. and Sanionia georgico-uncinata, was 78.2% of the total cover of all the species. Lichen cover and species diversity increased with altitude and the time of exposure from snow. Lichens contributed substantially more to the increased species density and diversity than did bryophytes. Ten plant communities were recognized within the study area. All of them belong to the Antarctic cryptogam tundra formation; they were grouped into four subformations: fruticose lichen and moss cushion subformation, crustose lichen subformation, moss carpet subformation and moss hummock subformation. The moss turf subformation was not found on this region. The Antarctic herb tundra formation was also not found; however, the populations of both Antarctic vascular plants have rapidly expanded around Barton Peninsula in recent years, which may allow development of the Antarctic herb tundra formation in the future.</t>
  </si>
  <si>
    <t>KORDI, KOPRI, Polar Environm Res Div, Inchon 406840, South Korea; Kangnung Natl Univ, Dept Biol, Kangnung 210702, South Korea</t>
  </si>
  <si>
    <t>Korea Institute of Ocean Science &amp; Technology (KIOST); Korea Polar Research Institute (KOPRI); Kangnung Wonju National University</t>
  </si>
  <si>
    <t>Choi, HG (corresponding author), KORDI, KOPRI, Polar Environm Res Div, POB 32, Inchon 406840, South Korea.</t>
  </si>
  <si>
    <t>hchoi82@kopri.re.kr</t>
  </si>
  <si>
    <t>10.1007/s00300-006-0250-2</t>
  </si>
  <si>
    <t>WOS:000246391400010</t>
  </si>
  <si>
    <t>Carlini, AR; Coria, NR; Santos, MM; Libertelli, MM; Donini, G</t>
  </si>
  <si>
    <t>Carlini, A. R.; Coria, N. R.; Santos, M. M.; Libertelli, M. M.; Donini, G.</t>
  </si>
  <si>
    <t>Breeding success and population trends in Adelie penguins in areas with low and high levels of human disturbance</t>
  </si>
  <si>
    <t>human disturbance; Hope Bay; breeding performance; Pygoscelis adeliae</t>
  </si>
  <si>
    <t>PYGOSCELIS-ADELIAE; ANTARCTICA; BEHAVIOR; PAPUA</t>
  </si>
  <si>
    <t>The breeding performance and population trends of Adelie penguins (Pygoscelis adeliae) was studied at Esperanza/Hope Bay, Antarctic Peninsula, by comparing an area with low levels of human disturbance (LLD) and an area with high levels of human disturbance (HLD), close to an Argentine research station. From 1995/1996 to 2004/2005 (except for 1999/2000 and 2003/2004), the following population parameters were measured in both areas: (1) the number of breeding pairs, (2) the number of chicks in creches and (3) the number of chicks produced by breeding pairs. Counts were made for 26 breeding groups situated in the LLD area and 63 breeding groups located in the HLD area. The number of chicks per breeding pair was obtaobtained by following 100 marked nests in each area. All parameters were measured as described in the CCAMLR Monitoring Program protocols. The magnitude and direction (increasing or decreasing) of the changes in breeding population size and the number of chicks creched were similar in both areas. Overall, the number of breeding pairs decreased from 4,744 to 2,968 (37.4%) in the LLD area, and from 8,744 to 5,378 (38.6%) in the HLD area. The number of chicks fledged increased from 3,808 to 4,065 (6.7%) in the LLD area, and decreased from 6,991 to 6,712 (4%) in the HLD area. Breeding success (chicks fledged per marked nest) did not differ significantly between areas for most of the seasons compared. In 1996/1997, breeding success was significantly higher in the HLD area. Our data suggest that environmental influences currently exert greater effects than human disturbance on the penguin population at Esperanza Bay.</t>
  </si>
  <si>
    <t>Inst Antartico Agrentino, Dept Ciencias Biol, Buenos Aires, DF, Argentina; Consejo Nacl Invest Cient &amp; Tecn, RA-1033 Buenos Aires, DF, Argentina</t>
  </si>
  <si>
    <t>Instituto Antartico Argentino; Consejo Nacional de Investigaciones Cientificas y Tecnicas (CONICET)</t>
  </si>
  <si>
    <t>Carlini, AR (corresponding author), Inst Antartico Agrentino, Dept Ciencias Biol, Cerrito 1248,C1010AAZ, Buenos Aires, DF, Argentina.</t>
  </si>
  <si>
    <t>acarlini@dna.gov.ar</t>
  </si>
  <si>
    <t>10.1007/s00300-006-0251-1</t>
  </si>
  <si>
    <t>WOS:000246391400011</t>
  </si>
  <si>
    <t>Delille, D; Coulon, F; Pelletier, E</t>
  </si>
  <si>
    <t>Delille, D.; Coulon, F.; Pelletier, E.</t>
  </si>
  <si>
    <t>Long-term changes of bacterial abundance, hydrocarbon concentration and toxicity during a biostimulation treatment of oil-amended organic and mineral sub-Antarctic soils</t>
  </si>
  <si>
    <t>crude oil; diesel fuel; sub-Antarctic soils; bioremediation agent; long-term impact; toxicity</t>
  </si>
  <si>
    <t>CONTAMINATED SOIL; CRUDE-OIL; PETROLEUM-HYDROCARBONS; DIESEL FUEL; BIOREMEDIATION; DEGRADATION; MICROORGANISMS; MARINE; SPILLS; BIODEGRADATION</t>
  </si>
  <si>
    <t>A field study was initiated in December 2000 in two selected sub-Antarctic soils (Kerguelen Archipelago) with the objective of determining the long-term effects of a fertilizer addition on the degradation rate and the toxicity of oil residues under severe sub-Antarctic conditions. Two soils were selected. The first site was an organic soil supporting an abundant vegetal cover while the second one was a mineral soil, free from vegetation. Both soils were located in the vicinity of the permanent station of Port-aux-Francais (69 degrees 42'E-49 degrees 19'S). Two series of five experimental plots (0.75 x 0.7 5 m) were settled firmly into each of the studied soils. Each plot received 500 ml of diesel fuel or Arabian light crude oil and some of them were treated with a bioremediation agent: the slow release fertilizer Inipol EAP-22(R) (Elf Atochem). All plots were sampled on a regular basis over a 4-year period. The microbial response was improved by bioremediation treatments but fertilizer addition had a greater impact on the mineral soil when compared to the organic one. The rate of degradation was significantly improved by bioremediation treatments. However, even after 4 years, the toxicity of oiled soils as determined by Microtox solid phase tests showed a persistent response in spite of an apparent significant degradation of alkanes and aromatics. Despite the very small amount of contaminant used in this experiment, 4 years of bioremediation was not sufficient to obtain a complete return to pristine conditions.</t>
  </si>
  <si>
    <t>Univ Paris 06, UMR 7621, CNRS, Observ Oceanol Banyuls,Lab Arago, F-66650 Banyuls sur Mer, France; Univ Essex, Dept Biol Sci, Colchester CO4 3SQ, Essex, England; Univ Quebec, ISMER, Rimouski, PQ G5L 3A1, Canada</t>
  </si>
  <si>
    <t>Centre National de la Recherche Scientifique (CNRS); CNRS - National Institute for Earth Sciences &amp; Astronomy (INSU); Sorbonne Universite; University of Essex; University of Quebec</t>
  </si>
  <si>
    <t>Delille, D (corresponding author), Univ Paris 06, UMR 7621, CNRS, Observ Oceanol Banyuls,Lab Arago, F-66650 Banyuls sur Mer, France.</t>
  </si>
  <si>
    <t>delille@obs-banyuls.fr</t>
  </si>
  <si>
    <t>Coulon, Frederic/B-3227-2009; Daniel, Delille/S-9542-2019</t>
  </si>
  <si>
    <t>Coulon, Frederic/0000-0002-4384-3222;</t>
  </si>
  <si>
    <t>10.1007/s00300-007-0252-8</t>
  </si>
  <si>
    <t>WOS:000246391400012</t>
  </si>
  <si>
    <t>Bridge, PD; Denton, GJ</t>
  </si>
  <si>
    <t>Bridge, P. D.; Denton, G. J.</t>
  </si>
  <si>
    <t>Isolation of diverse viable fungi from the larvae of the introduced chironomid Eretmoptera murphyi on Signy Island</t>
  </si>
  <si>
    <t>DISPERSAL</t>
  </si>
  <si>
    <t>The chironimid midge Eretmoptera murphyi has been introduced to Signy Island and has since become established at a single site. Viable propagules of a diverse range of micro-fungi were recovered from the normal intestinal tract of larvae of E. murphyi, indicating the potential for the larvae to act as vectors for fungal introductions. The fungi present in the intestines of the larvae included ascomycetes, zygomycetes and an oomycete, and this diversity highlights the potential for multiple microbial introductions from a single invertebrate introduction.</t>
  </si>
  <si>
    <t>British Antarctic Survey, NERC, Cambridge CB3 0ET, England; RHS Garden, Plant Pathol, Woking GU23 6QB, Surrey, England</t>
  </si>
  <si>
    <t>Bridge, PD (corresponding author), British Antarctic Survey, NERC, Madingley Rd, Cambridge CB3 0ET, England.</t>
  </si>
  <si>
    <t>pdbr@bas.ac.uk</t>
  </si>
  <si>
    <t>10.1007/s00300-007-0268-0</t>
  </si>
  <si>
    <t>WOS:000246391400013</t>
  </si>
  <si>
    <t>Esteban, GF; Gooday, AJ; Clarke, KJ</t>
  </si>
  <si>
    <t>Esteban, G. F.; Gooday, A. J.; Clarke, K. J.</t>
  </si>
  <si>
    <t>Siliceous scales of filose-amoebae (Pompholyxophryidae, Rotosphaerida) from deep Southern Ocean sediments, including first records for the Southern Hemisphere</t>
  </si>
  <si>
    <t>Antarctica; biogeography; Heliozoa; scale-bearing protists; South Sandwich Islands; Southern Hemisphere</t>
  </si>
  <si>
    <t>PINACIOPHORA-FLUVIATILIS GREEFF; MID-NORTH-ATLANTIC; POTAMODISCUS-KALBEI; ABYSSAL SEDIMENTS; HELIOZOA; EUKARYOTES; ANTARCTICA; TAXONOMY; PROTISTS; PROTOZOA</t>
  </si>
  <si>
    <t>The world of protists remains largely unexplored. A thorough electron-microscopic investigation of a few microlitres of deep-sea sediment from 2,964 m water depth near the South Sandwich Islands (Southern Ocean) revealed siliceous scales of filose-amoeba protist species, two of which have not been reported previously from Antarctica or from elsewhere in the Southern Hemisphere. However, all the species are known from other oceans and, in one case, from freshwater habitats. The Antarctic protistan scales belong to four species of filose amoebae: Pinaciophora fluviatilis Greef 1869, Pinaciophora denticulata Thomsen 1978, Pinaciophora multicosta Thomsen 1978 and Rabdiaster reticulata (Thomsen 1979) Mikrjukov 1999 nov. comb. Our study shows that (1) none of the species has been recorded from the Australasian biogeograpical region, (2) Pinaciophora multicosta and Rabdiaster reticulata are new records for the Southern Ocean and for the Southern Hemisphere as a whole, (3) prior to this investigation, Pinaciophora multicosta had been reported once only, from the Baltic Sea (Europe). These results highlight the problem of undersampling in the study of the global distribution of protists.</t>
  </si>
  <si>
    <t>Winfrith Technol Ctr, Ctr Ecol &amp; Hydrol, Dorchester DT2 8ZD, Dorset, England; Natl Oceanog Ctr, Southampton SO14 3ZH, Hants, England; Freshwater Biol Assoic, Ambleside LA22 0LP, Cumbria, England</t>
  </si>
  <si>
    <t>UK Centre for Ecology &amp; Hydrology (UKCEH); NERC National Oceanography Centre; Freshwater Biological Association (FBA)</t>
  </si>
  <si>
    <t>Esteban, GF (corresponding author), Winfrith Technol Ctr, Ctr Ecol &amp; Hydrol, Dorchester DT2 8ZD, Dorset, England.</t>
  </si>
  <si>
    <t>g.esteban@qmul.ac.uk</t>
  </si>
  <si>
    <t>Gooday, Andrew/ABB-4267-2020; Gooday, Andrew/AAH-8991-2021</t>
  </si>
  <si>
    <t>Gooday, Andrew/0000-0002-5661-7371; Esteban, Genoveva/0000-0002-5805-8411</t>
  </si>
  <si>
    <t>NERC [soc010009] Funding Source: UKRI; Natural Environment Research Council [soc010009, CEH010021] Funding Source: researchfish</t>
  </si>
  <si>
    <t>10.1007/s00300-007-0280-4</t>
  </si>
  <si>
    <t>WOS:000246391400015</t>
  </si>
  <si>
    <t>Van Vliet-Lanoë, B</t>
  </si>
  <si>
    <t>Van Vliet-Lanoe, Brigitte</t>
  </si>
  <si>
    <t>THE DAWN OF QUATERNARY: CAUSES OF THE ENTRANCE IN THE ICE AGE (65 Ma-2,2 Ma)</t>
  </si>
  <si>
    <t>QUATERNAIRE</t>
  </si>
  <si>
    <t>French</t>
  </si>
  <si>
    <t>glacierization; Cainozoic; tectonics; conveyor belt; aridity</t>
  </si>
  <si>
    <t>MESSINIAN SALINITY CRISIS; LATE MIOCENE; LATE PLIOCENE; SEA-LEVEL; EOLIAN DEPOSITION; TIBETAN PLATEAU; GLOBAL CHANGE; HISTORY; UPLIFT; CLIMATE</t>
  </si>
  <si>
    <t>The Cainozoic era records a step-like glacierization, first on the southern hemisphere and since the onset of Neogene on the northern hemisphere. This evolution is linked to the rifting and to plate tectonic that opened or closed several straits. Since the Cretaceous, the creation of collisional or isostatic deloading reliefs thanks to underplating or superficial erosion favoured the glacierization. Sea floor spreading and ice storage induced an important sea-level drop. Modifications of the marine and atmospheric circulations induced by the new-born reliefs intensified the cooling trend. The Earth shifted from an unipolar glaciation to a bipolar one from the Neogene, from a zonal oceanic circulation to the present thermohaline circulation throughout CO2 consumption. From 3 Ma, in relation with the land masses and oceans configuration, the glacierization is global with a strong control by insolation strength, and an equatorial positioning of the Intertropical convergence zone (ITCZ). The increasing aridity influenced the biodiversity and dust production at least since the Oligocene. At the onset of the Pleistocene, the glacierization is mostly completed : the Antarctic ice maximum occurred during the Miocene, although true ice sheets only developed from the Pliocene in the northern hemisphere.</t>
  </si>
  <si>
    <t>Univ Lille 1, UMR PBDS CNRS 8110, SN5, UFR Sc Terre, F-59655 Villeneuve Dascq, France</t>
  </si>
  <si>
    <t>Universite de Lille - ISITE; Universite de Lille</t>
  </si>
  <si>
    <t>Van Vliet-Lanoë, B (corresponding author), Univ Lille 1, UMR PBDS CNRS 8110, SN5, UFR Sc Terre, F-59655 Villeneuve Dascq, France.</t>
  </si>
  <si>
    <t>Brigitte.van-vliet-lanoe@univ-lille1.fr</t>
  </si>
  <si>
    <t>SOC GEOLOGIQUE FRANCE</t>
  </si>
  <si>
    <t>PARIS</t>
  </si>
  <si>
    <t>77, RUE CLAUDE-BERNARD, PARIS, F-75005, FRANCE</t>
  </si>
  <si>
    <t>1142-2904</t>
  </si>
  <si>
    <t>Quaternaire</t>
  </si>
  <si>
    <t>V17HN</t>
  </si>
  <si>
    <t>WOS:000207928400001</t>
  </si>
  <si>
    <t>Donatti, L; Fanta, E</t>
  </si>
  <si>
    <t>Donatti, Lucelia; Fanta, Edith</t>
  </si>
  <si>
    <t>Retinomotor movements in the Antarctic fish Trematomus newnesi Boulenger submitted to different environmental light conditions</t>
  </si>
  <si>
    <t>REVISTA BRASILEIRA DE ZOOLOGIA</t>
  </si>
  <si>
    <t>photic variation; photoreceptors; retina</t>
  </si>
  <si>
    <t>RHYTHMS</t>
  </si>
  <si>
    <t>The Antarctic fish Trematomus newnesi (Boulenger, 1902) occurs from benthic to pelagic habitats, in seasonally and daily varied photic conditions that induce retinomotor movements. Fish were experimentally kept under constant darkness or light, and 12Light/12Dark for seven days. The retinomotor movement of the pigment epithelium was established through the pigment index, while that of the cones was calculated as the length of the myoid. The retinomotor movement of the pigment epithelium in T newnesi, revealed that the adaptation to constant light occurred in the one hour of exposure, remaining constant for the next seven days. However, the adaptation to constant darkness, was slower. The difference between the mean values of the pigment indices in the time intervals of sampling was significant in the first hours of the experiment, and only after six hours they were not significant any more. The myoid of cones became elongated in darkness and contracted in light. In the experiments where T newnesi was exposed initially to 12 hours light followed by 12 hours darkness 12 was evidenced that the speed and intensity of the retinomotor movements was higher when darkness changed into light, than when light changed into darkness.</t>
  </si>
  <si>
    <t>Univ Fed Parana, Dept Cellular Biol, BR-81531970 Curitiba, Parana, Brazil</t>
  </si>
  <si>
    <t>Universidade Federal do Parana</t>
  </si>
  <si>
    <t>Donatti, L (corresponding author), Univ Fed Parana, Dept Cellular Biol, Caixa Postal 19031, BR-81531970 Curitiba, Parana, Brazil.</t>
  </si>
  <si>
    <t>donatti@ufpr.br</t>
  </si>
  <si>
    <t>Donatti, Lucelia/E-1930-2013</t>
  </si>
  <si>
    <t>Donatti, Lucelia/0000-0002-9023-2483</t>
  </si>
  <si>
    <t>SOC BRASILEIRA ZOOLOGIA, UNIV FEDERAL PARANA</t>
  </si>
  <si>
    <t>CURITIBA</t>
  </si>
  <si>
    <t>CAIXA POSTAL 19020, CURITIBA, PARANA 81531-980, BRAZIL</t>
  </si>
  <si>
    <t>0101-8175</t>
  </si>
  <si>
    <t>REV BRAS ZOOL</t>
  </si>
  <si>
    <t>Rev. Bras. Zool.</t>
  </si>
  <si>
    <t>10.1590/S0101-81752007000200025</t>
  </si>
  <si>
    <t>187HO</t>
  </si>
  <si>
    <t>WOS:000247838500025</t>
  </si>
  <si>
    <t>Zhang, HS; Wang, ZP; Lu, B; Zhu, C; Wu, GH; Vetter, W</t>
  </si>
  <si>
    <t>Zhang HaiSheng; Wang ZiPan; Lu Bing; Zhu Chun; Wu GuangHai; Vetter Walter</t>
  </si>
  <si>
    <t>Occurrence of organochlorine pollutants in the eggs and dropping-amended soil of Antarctic large animals and its ecological significance</t>
  </si>
  <si>
    <t>persistent organochlorine pollutant; animal habitats; dropping-amended soil; seabird egg; Antarctica</t>
  </si>
  <si>
    <t>MICROWAVE-ASSISTED EXTRACTION; GEL-PERMEATION CHROMATOGRAPHY; CHLORINATED HYDROCARBONS; AIR; PESTICIDES; HEXACHLOROCYCLOHEXANE; SEAL; ATMOSPHERE; EXCHANGE; BLUBBER</t>
  </si>
  <si>
    <t>Persistent organochlorine pollutants (POPs) are analyzed for the dropping-amended soils from the habitats of Antarctic seabirds and seals in Fildes Peninsula and Ardley Island. The concentration ranges are 0.21 to 3.85 ng/g for polychlorinated biphenyls (Sigma PCBs), 0.09 to 2.01 ng/g for organochlorine pesticides (Sigma DDT), and 0.06 to 0.76 ng/g for hexachlorocyclohexanes (HCHs). Among these, hepatachlorobiphenyls, hexachlorobiphenyls, p,p'-DDE and alpha-HCH compounds are dominant. The concentration ranges of Sigma PCB, DDT and HCH in the eggs of skuas were 91.9-515.5 ng/g, 56.6-304.4 ng/g and 0.5-2.0 ng/g respectively; those in the eggs of penguins were 0.4-0.9 ng/g, 2.4-10.3 ng/g and 0.1-0.4 ng/g; and those in the eggs of giant petrel were 38.1-81.7 ng/g, 12.7-53.7 ng/g and 0.5-1.5 ng/g respectively. The dominant POP compounds in the eggs are PCB180, PCB153, p,p'-DDE and hexachlorobenzene (HCB). The present study shows that the concentration of POPs in the seabird-inhabited-dropping-amended soil varies with the extent of predation and nest occupancy of different seabird populations. Statistical analysis on the POP concentrations from the different seabird eggs implies that the difference in the bio-concentration levels of the birds depends on the bio-habits of the species, such as the range of activity, distance of immigration, feeding pattern, and nest occupation. Among these, the most important factor is the location of the seabirds in the food chain and their feeding pattern. This shows that POPs accumulated in the seabirds resulted from the bio-concentration through the food chain. In addtion, Pb-210 dating for the dropping-amended soils (AD1-a and AD2) was performed, which provided the POP accumulation rate and the historic record for the soil profile. It indicates that POP will continuously affect the Antarctic ecosystem for a long time.</t>
  </si>
  <si>
    <t>State Ocean Adm, Key Lab Submarine Geosci, Inst Oceanog 2, Hangzhou 310012, Peoples R China; Key Lab Microbiol &amp; Environm Engn, Ningbo 315100, Peoples R China; Univ Jena, Lehrbereich Lebensmittelchem, D-07743 Jena, Germany</t>
  </si>
  <si>
    <t>Friedrich Schiller University of Jena</t>
  </si>
  <si>
    <t>Zhang, HS (corresponding author), State Ocean Adm, Key Lab Submarine Geosci, Inst Oceanog 2, Hangzhou 310012, Peoples R China.</t>
  </si>
  <si>
    <t>zhangsoa@163.com</t>
  </si>
  <si>
    <t>10.1007/s11430-007-0021-0</t>
  </si>
  <si>
    <t>189GP</t>
  </si>
  <si>
    <t>WOS:000247977700014</t>
  </si>
  <si>
    <t>Kirkwood, R; Lawton, K; Moreno, C; Valencia, J; Schlatter, R; Robertson, G</t>
  </si>
  <si>
    <t>Kirkwood, Roger; Lawton, Kieran; Moreno, Carlos; Valencia, Jose; Schlatter, Roberto; Robertson, Graham</t>
  </si>
  <si>
    <t>Estimates of southern rockhopper and macaroni penguin numbers at the Ildefonso and Diego Ramirez archipelagos, chile, using quadrat and distance-sampling techniques</t>
  </si>
  <si>
    <t>WATERBIRDS</t>
  </si>
  <si>
    <t>eudyptid; rockhopper penguin; macaroni penguin; status; nest occupation; distance sampling; Ildefonso; Diego Ramirez</t>
  </si>
  <si>
    <t>FALKLAND ISLANDS; POPULATION</t>
  </si>
  <si>
    <t>Populations of Southern Rockhopper (Euduples chrysocome chrysocome) and Macaroni (E. chrysolophus) Penguins at key breeding sites in the Southern Hemisphere have declined substantially in the past 50 years, but their statuses at important breeding sites in southern Chile are poorly known. In 2002, at two of the largest breeding sites in Chile, the Ildefonso and Diego Ramirez Archipelagos, we determined the number of breeding pairs. Based on nest density checks (quadrat and/or point-distance techniques) in a sample of habitats and calculations of the areas of occupied terrain, we estimated there were 86,400 (CL95%: 54,000 to 135,000) Rockhopper pairs and 5,660 (2,280 to 11,900) Macaroni pairs at Ildefonso, and 132,721 (88,860 to 185,665) Rockhopper pairs and about 15,600 Macaroni pairs at Diego Ramirez. Combined, the archipelagos hold about 28% of the world population of Southern Rockhopper Penguins.</t>
  </si>
  <si>
    <t>Australian Antarctic Div, Kingston, Tas 7050, Australia; Phillip Isl Nat Pk, Cowes, Vic 3922, Australia; Univ Austral Chile, Inst Ecol &amp; Evoluc, Valdivia, Chile; Inst Antarctico Chileno, Punta Arenas, Chile; Univ Austral Chile, Inst Zool, Valdivia, Chile</t>
  </si>
  <si>
    <t>Australian Antarctic Division; Universidad Austral de Chile; Universidad Austral de Chile</t>
  </si>
  <si>
    <t>Kirkwood, R (corresponding author), Australian Antarctic Div, Channel Highway, Kingston, Tas 7050, Australia.</t>
  </si>
  <si>
    <t>rkirkwood@penguins.org.au</t>
  </si>
  <si>
    <t>Valencia, Jose/IAO-2562-2023</t>
  </si>
  <si>
    <t>Kirkwood, Roger/0000-0003-4221-4050</t>
  </si>
  <si>
    <t>WATERBIRD SOC</t>
  </si>
  <si>
    <t>NATL MUSEUM NATURAL HISTORY SMITHSONIAN INST, WASHINGTON, DC 20560 USA</t>
  </si>
  <si>
    <t>1524-4695</t>
  </si>
  <si>
    <t>Waterbirds</t>
  </si>
  <si>
    <t>10.1675/1524-4695(2007)30[259:EOSRAM]2.0.CO;2</t>
  </si>
  <si>
    <t>Ornithology</t>
  </si>
  <si>
    <t>191KN</t>
  </si>
  <si>
    <t>WOS:000248130200011</t>
  </si>
  <si>
    <t>Coldron, J</t>
  </si>
  <si>
    <t>Coldron, Joanna</t>
  </si>
  <si>
    <t>Management of a respiratory emergency in the Antarctic winter: A case of foreign body aspiration</t>
  </si>
  <si>
    <t>WILDERNESS &amp; ENVIRONMENTAL MEDICINE</t>
  </si>
  <si>
    <t>Antarctic regions; aeromedical evacuation; foreign bodies; bronchi</t>
  </si>
  <si>
    <t>SUBCUTANEOUS EMPHYSEMA; BODIES; DIAGNOSIS; CHILDREN; ADULTS</t>
  </si>
  <si>
    <t>I report on a case of left main bronchus occlusion by an inhaled foreign body at a remote Antarctic scientific base during the austral winter. The dilemmas of on-site treatment and the challenges of aeromedical evacuation from such a remote environment are presented.</t>
  </si>
  <si>
    <t>BASMU, Sheffield S7 2LB, S Yorkshire, England</t>
  </si>
  <si>
    <t>Coldron, J (corresponding author), BASMU, 25 Sterndale Rd, Sheffield S7 2LB, S Yorkshire, England.</t>
  </si>
  <si>
    <t>jcoldron@hotmail.com</t>
  </si>
  <si>
    <t>1080-6032</t>
  </si>
  <si>
    <t>WILD ENVIRON MED</t>
  </si>
  <si>
    <t>Wildern. Environ. Med.</t>
  </si>
  <si>
    <t>SUM</t>
  </si>
  <si>
    <t>10.1580/06-WEME-CR-017R2.1</t>
  </si>
  <si>
    <t>Public, Environmental &amp; Occupational Health; Sport Sciences</t>
  </si>
  <si>
    <t>184KU</t>
  </si>
  <si>
    <t>WOS:000247641100008</t>
  </si>
  <si>
    <t>Verdy, A; Dutkiewicz, S; Follows, MJ; Marshall, J; Czaja, A</t>
  </si>
  <si>
    <t>Verdy, A.; Dutkiewicz, S.; Follows, M. J.; Marshall, J.; Czaja, A.</t>
  </si>
  <si>
    <t>Carbon dioxide and oxygen fluxes in the Southern Ocean: Mechanisms of interannual variability</t>
  </si>
  <si>
    <t>NORTH-ATLANTIC; ANNULAR MODE; SEA-ICE; CIRCULATION; CO2; NUTRIENTS; BIOLOGY</t>
  </si>
  <si>
    <t>[1] We analyze the variability of air-sea fluxes of carbon dioxide and oxygen in the Southern Ocean during the period 1993 - 2003 in a biogeochemical and physical simulation of the global ocean. Our results suggest that the nonseasonal variability is primarily driven by changes in entrainment of carbon-rich, oxygen-poor waters into the mixed layer during winter convection episodes. The Southern Annular Mode (SAM), known to impact the variability of air-sea fluxes of carbon dioxide, is also found to affect oxygen fluxes. We find that El Nino-Southern Oscillation (ENSO) also plays an important role in generating interannual variability in air-sea fluxes of carbon and oxygen. Anomalies driven by SAM and ENSO constitute a significant fraction of the simulated variability; the two climate indices are associated with surface heat fluxes, which control the modeled mixed layer depth variability. We adopt a Lagrangian view of tracers advected along the Antarctic Circumpolar Current (ACC) to highlight the importance of convective mixing in inducing anomalous air-sea fluxes of carbon dioxide and oxygen. The idealized Lagrangian model captures the principal features of the variability simulated by the more complex model, suggesting that knowledge of entrainment, temperature, and mean geostrophic flow in the mixed layer is sufficient to obtain a first-order description of the large-scale variability in air-sea transfer of soluble gases. Distinct spatial and temporal patterns arise from the different equilibration timescales of the two gases.</t>
  </si>
  <si>
    <t>MIT, MIT WHOI Joint Program Oceanog, Cambridge, MA 02139 USA; MIT, Dept Earth Atmospher &amp; Planetary Sci, Cambridge, MA 02139 USA; Univ London Imperial Coll Sci Technol &amp; Med, Dept Phys, Space &amp; Atmospher Phys Grp, London SW7 2AZ, England</t>
  </si>
  <si>
    <t>Massachusetts Institute of Technology (MIT); Massachusetts Institute of Technology (MIT); Imperial College London</t>
  </si>
  <si>
    <t>Verdy, A (corresponding author), MIT, MIT WHOI Joint Program Oceanog, 77 Massachusetts Ave, Cambridge, MA 02139 USA.</t>
  </si>
  <si>
    <t>averdy@ocean.mit.edu; stephd@ocean.mit.edu; mick@plume.mit.edu; marshall@gulf.mit.edu; a.czaja@imperial.ac.uk</t>
  </si>
  <si>
    <t>Follows, Michael J/G-9824-2011; Verdy, Ariane/B-6470-2008</t>
  </si>
  <si>
    <t>Czaja, Arnaud/0000-0003-3645-0284; Verdy, Ariane/0000-0002-2774-2691</t>
  </si>
  <si>
    <t>MAY 31</t>
  </si>
  <si>
    <t>GB2020</t>
  </si>
  <si>
    <t>10.1029/2006GB002916</t>
  </si>
  <si>
    <t>174KQ</t>
  </si>
  <si>
    <t>WOS:000246941200001</t>
  </si>
  <si>
    <t>Hoogakker, BAA; McCave, IN; Vautravers, MJ</t>
  </si>
  <si>
    <t>Hoogakker, B. A. A.; McCave, I. N.; Vautravers, M. J.</t>
  </si>
  <si>
    <t>Antarctic link to deep flow speed variation during Marine Isotope Stage 3 in the western North Atlantic</t>
  </si>
  <si>
    <t>Blake Outer Ridge; flow speed proxy; Western Boundary Undercurrent; Marine Isotope Stage 3; Slow Events; Northern and Southern Source Waters; warming phases of Antarctic Warm Event; density; geostrophic flow; Ocean Drilling Program; Joides Resolution; Leg 172; Site 1060, 1059</t>
  </si>
  <si>
    <t>LAST GLACIAL CYCLE; BAHAMA OUTER RIDGE; OCEAN CIRCULATION; BOUNDARY UNDERCURRENT; DANSGAARD-OESCHGER; OXYGEN-ISOTOPE; CLIMATE-CHANGE; SORTABLE SILT; SEA-ICE; WATER</t>
  </si>
  <si>
    <t>The Western Boundary Undercurrent (WBUC), off eastern America, is an important component of the Atlantic Meridional Overturning circulation and is the principal route for southward transport of North Atlantic waters and southward return of Southern Source Water (SSW). Here a direct flow speed proxy (mean grain size of the sortable silt) is used to infer the vigour of flow of the palaeo-WBUC at Blake Outer Ridge, (ODP Site 1060, depth 3481 m) during Marine Isotope Stage (MIS) 3. The overall shape of the flow speed proxy record shows a complex pattern of variability, with generally more vigorous flow and larger-scale flow variations between 35 and 60 ka than in the younger part of MIS 3 and MIS 2 (&lt; 35 ka). Six events of reduced bottom flow vigour (Slow Events, SEs) occur. These appear uncorrelated with Heinrich events, but are instead synchronous with the warming phases of Antarctic Warm Events A-1 to A-4 (with one new one, A-1 a and one poorly defined, 'A-0'). This indicates that Antarctic climate exerts a stronger control on deep flow vigour in the North Atlantic during MIS 3 than Northern Hemisphere climate. The correspondence of SEs with Antarctic warming suggests a weaker WBUC flow due to reduced volume flux at SSW source or reduced SSW density. Because the variability of the lower limb of the WBUC was not connected to sharp North Atlantic changes in temperature, it is unlikely that the Dansgaard/Oeschger cycles were associated with a mode of MOC variation involving whole-ocean overturn, but more likely with perturbations of only the shallow Glacial Gulf Stream-Glacial Northern Source Intermediate Water cell. Nutrient proxies (benthic carbon isotopes and Cd/Ca of Uvigerina peregrina) at this site show similar trends to the GRIP delta O-18 record. This correlation has previously been attributed mainly to hydrographic and flow changes but is here shown to be better explained by variations in surface ocean productivity and subsequent decomposition of C-12 rich organic material on the sea floor. (c) 2007 Elsevier B.V. All rights reserved.</t>
  </si>
  <si>
    <t>Univ Cambridge, Dept Earth Sci, Godwin Lab Palaeoclimate Res, Cambridge CB2 3EQ, England</t>
  </si>
  <si>
    <t>Hoogakker, BAA (corresponding author), Univ Cambridge, Dept Earth Sci, Godwin Lab Palaeoclimate Res, Downing St, Cambridge CB2 3EQ, England.</t>
  </si>
  <si>
    <t>bhoo03@esc.cam.ac.uk</t>
  </si>
  <si>
    <t>McCave, Nick N/G-7323-2016; McCave, I. Nick/O-3992-2018</t>
  </si>
  <si>
    <t>McCave, Nick N/0000-0002-4702-5489; McCave, I. Nick/0000-0002-4702-5489; Hoogakker, Babette/0000-0002-8171-9679; Mleneck-Vautravers, Maryline/0000-0003-2534-219X</t>
  </si>
  <si>
    <t>MAY 30</t>
  </si>
  <si>
    <t>10.1016/j.epsl.2007.03.003</t>
  </si>
  <si>
    <t>177JD</t>
  </si>
  <si>
    <t>WOS:000247148500008</t>
  </si>
  <si>
    <t>Cortese, G; Gersonde, R</t>
  </si>
  <si>
    <t>Cortese, G.; Gersonde, R.</t>
  </si>
  <si>
    <t>Morphometric variability in the diatom Fragilariopsis kerguelensis:: Implications for Southern Ocean paleoceanography</t>
  </si>
  <si>
    <t>diatom; morphometry; Southern Ocean; nutrient; biogenic silica; export production</t>
  </si>
  <si>
    <t>LAST DEGLACIATION; IRON; ECOSYSTEMS; SEDIMENTS; GROWTH; ICE</t>
  </si>
  <si>
    <t>Diatoms play a central role in the ecosystem of the Southern Ocean, where they represent the main producers and carriers of organic carbon and dissolved silicon towards the deep ocean. Variability in space and time of the size of the most abundant species (Fragilariopsis kerguelensis) may directly impact the way this ecosystem functions, and also affect the nutrient balance of the global ocean, as important water masses (e.g. the Antarctic Intermediate Water) get their nutrient signature in this area. We used a biometric approach and analyzed the size variability of F kerguelensis valves in sixty-four surface sediment samples from the Southern Ocean, in sediment trap samples from a mooring (Site PF3) at the Antarctic Polar Front (APF), and along a nearby piston core (PS1654-2). The average length and valve area of F. kerguelensis displayed a distinct increase in the proximity of the APF, and lower values to the north and south of it, and also changed markedly over seasonal cycles, as diatom blooms and nutrient availability waxe and wane. The last glacial to interglacial transition also witnesses important changes in the general shape and valve size of F. kerguelensis, with specimens from glacial intervals being ca. 30% larger than their interglacial counterparts (195 versus 150 mu m(2) valve area). A sharp peak in average area and a very specific valve morphology correspond to the first signs of deglaciation and concurring SST (Sea Surface Temperature) increase and sea-ice retreat. The latter, together with melting icebergs, may have contributed dissolved iron to surface waters. The highest average sizes during glacial intervals are higher than what found anywhere in the Southern Ocean today. The newly proposed proxy (valve area and shape of F. kerguelensis) may thus prove useful for the reconstruction of the past position and nutrient characteristics of the APF and opal belt, a region characterized by high production and export of biogenic silica, in a particularly sensitive and dynamic area such as the Southern Ocean. (c) 2007 Elsevier B.V. All rights reserved.</t>
  </si>
  <si>
    <t>Alfred Wegener Inst Polar &amp; Marine Res, D-27515 Bremerhaven, Germany</t>
  </si>
  <si>
    <t>Cortese, G (corresponding author), Alfred Wegener Inst Polar &amp; Marine Res, POB 120161, D-27515 Bremerhaven, Germany.</t>
  </si>
  <si>
    <t>gcortese@awi-bremerhaven.de; rgersonde@awi-bremerhaven.de</t>
  </si>
  <si>
    <t>Cortese, Giuseppe/C-8281-2011</t>
  </si>
  <si>
    <t>Cortese, Giuseppe/0000-0003-1780-3371</t>
  </si>
  <si>
    <t>10.1016/j.epsl.2007.03.021</t>
  </si>
  <si>
    <t>WOS:000247148500013</t>
  </si>
  <si>
    <t>Niedermann, S; Schaefer, JM; Wieler, R; Naumann, R</t>
  </si>
  <si>
    <t>Niedermann, Samuel; Schaefer, Joerg M.; Wieler, Rainer; Naumann, Rudolf</t>
  </si>
  <si>
    <t>The production rate of cosmogenic 38Ar from calcium in terrestrial pyroxene</t>
  </si>
  <si>
    <t>terrestrial cosmogenic nuclides; surface exposure dating; argon; helium; neon; production rates</t>
  </si>
  <si>
    <t>HE-3 PRODUCTION-RATES; NUCLIDE PRODUCTION-RATES; SURFACE PROCESSES; EXPOSURE AGES; DRY VALLEYS; LAVA FLOWS; NOBLE-GAS; ANTARCTICA; EARTH; NEON</t>
  </si>
  <si>
    <t>Pyroxene separated from dolerite surfaces, which were exposed to cosmic ray irradiation for millions of years in the Antarctic Dry Valleys, contains considerable amounts of cosmogenic Ar-38, as evident from Ar-38/Ar-36 ratios up to 0.2887 (air: 0.1880). In five out of eight mineral separates the concentrations of K, Ti and CI are tow enough to enable us to deduce the terrestrial production rate of Ar-38 from Ca (the remaining relevant target element) by relating cosmogenic Ar-38 concentrations to He-3 and Ne-21 exposure ages. Correlations of cosmogenic Ar-38 (normalized to Ca) to total He-3 and to cosmogenic Ne-21 normalized to Mg, respectively, are excellent. However, various currently used methods to derive the He-3 and Ne-21 production rates in pyroxene lack consistency. Depending on the method chosen, the Ar-38 production rate derived here ranges between (191 +/- 21) atoms (g Ca)(-1) a(-1) and (254 +/- 28) atoms (g Ca)(-1) a(-1) at sea level (standard atmospheric pressure) and high latitude. A more accurate value may be calculated from our data as soon as the He and Ne production rates from pyroxene are known more reliably. Our production rate determination is largely independent of past geomagnetic field variations and of the scaling method used. (c) 2007 Elsevier B.V. All rights reserved.</t>
  </si>
  <si>
    <t>Geoforschungszentrum Potsdam, D-14473 Potsdam, Germany; Lamont Doherty Earth Observ, Palisades, NY 10964 USA; Swiss Fed Inst Technol, CH-8092 Zurich, Switzerland</t>
  </si>
  <si>
    <t>Helmholtz Association; Helmholtz-Center Potsdam GFZ German Research Center for Geosciences; Columbia University; Swiss Federal Institutes of Technology Domain; ETH Zurich</t>
  </si>
  <si>
    <t>Niedermann, S (corresponding author), Geoforschungszentrum Potsdam, D-14473 Potsdam, Germany.</t>
  </si>
  <si>
    <t>nied@gfz-potsdam.de</t>
  </si>
  <si>
    <t>Wieler, Rainer/A-1355-2010</t>
  </si>
  <si>
    <t>Wieler, Rainer/0000-0001-5666-7494; Niedermann, Samuel/0000-0003-1626-5284</t>
  </si>
  <si>
    <t>10.1016/j.epsl.2007.03.020</t>
  </si>
  <si>
    <t>WOS:000247148500017</t>
  </si>
  <si>
    <t>Lenton, A; Matear, RJ</t>
  </si>
  <si>
    <t>Lenton, Andrew; Matear, Richard J.</t>
  </si>
  <si>
    <t>Role of the Southern Annular Mode (SAM) in Southern Ocean CO2 uptake</t>
  </si>
  <si>
    <t>SEA-ICE; INTERANNUAL VARIABILITY; SYNCHRONOUS VARIABILITY; HEMISPHERE ATMOSPHERE; IRON FERTILIZATION; CARBON EXPORT; CIRCULATION; FLUXES; TEMPERATURE; TRANSPORT</t>
  </si>
  <si>
    <t>A biogeochemical ocean general circulation model, driven with NCEP-R1 and observed atmospheric CO2 history, is used to investigate and quantify the role that the Southern Annular Mode (SAM), identified as the leading mode of climate variability, has in driving interannual variability in Southern Ocean air-sea CO2 fluxes between 1980 and 2000. Our simulations show the Southern Ocean to be a region of decreased CO2 uptake during the positive SAM phase. The SAM induces changes in Southern Ocean CO2 uptake with a 2-month time lag explaining 42% of the variance in the total interannual variability in air-sea CO2 fluxes. Our analysis shows that the response of the Southern Ocean to the SAM is primarily governed by changes in Delta pCO(2) (67%), and that this response is driven by changes in ocean physics that control the supply of nutrients to the upper ocean, primarily Dissolved Inorganic Carbon (DIC). The SAM is predicted to become stronger and more positive in response to climate change and our results suggest this will decrease the Southern Ocean CO2 uptake by 0.1PgC/yr per unit change in the SAM.</t>
  </si>
  <si>
    <t>Univ Paris 06, IPSL, LOCEAN, F-75005 Paris, France; CSIRO Marine &amp; Atmospher Res, Hobart, Tas, Australia; Univ Tasmania, Antarctic Climate &amp; Ecosyst Cooperat Res Ctr, Hobart, Tas, Australia</t>
  </si>
  <si>
    <t>Sorbonne Universite; Universite Paris Cite; Museum National d'Histoire Naturelle (MNHN); Commonwealth Scientific &amp; Industrial Research Organisation (CSIRO); Antarctic Climate &amp; Ecosystems Cooperative Research Centre (ACE CRC); University of Tasmania</t>
  </si>
  <si>
    <t>Lenton, A (corresponding author), Univ Paris 06, IPSL, LOCEAN, 4 Pl Jussieu, F-75005 Paris, France.</t>
  </si>
  <si>
    <t>andrew.lenton@locean-ipsl.upmc.fr; richard.matear@csiro.au</t>
  </si>
  <si>
    <t>matear, richard/C-5133-2011; Lenton, Andrew/D-2077-2012</t>
  </si>
  <si>
    <t>matear, richard/0000-0002-3225-0800; Lenton, Andrew/0000-0001-9437-8896</t>
  </si>
  <si>
    <t>GB2016</t>
  </si>
  <si>
    <t>10.1029/2006GB002714</t>
  </si>
  <si>
    <t>174KO</t>
  </si>
  <si>
    <t>WOS:000246941000001</t>
  </si>
  <si>
    <t>Mazaud, A; Kissel, C; Laj, C; Sicre, MA; Michel, E; Turon, JL</t>
  </si>
  <si>
    <t>Mazaud, A.; Kissel, C.; Laj, C.; Sicre, M. A.; Michel, E.; Turon, J. L.</t>
  </si>
  <si>
    <t>Variations of the ACC-CDW during MIS3 traced by magnetic grain deposition in midlatitude South Indian Ocean cores: Connections with the northern hemisphere and with central Antarctica</t>
  </si>
  <si>
    <t>paleoceanography; south; Indian; ocean; paleoclimatology and paleoceanography; environmental magnetism; interhemispheric phasing</t>
  </si>
  <si>
    <t>CLIMATE-CHANGE; ATLANTIC; GREENLAND; ICE; SEDIMENTS; SEESAW; EVENTS; ORIGIN</t>
  </si>
  <si>
    <t>[1] We examine the magnetic mineral deposition in three cores located at midlatitude sites in the South Indian Ocean, in an area where sediment eroded from the Kerguelen-Crozet plateau and transported by the marine currents, principally the Antarctic Circum Current, accumulates at a high sedimentation rate. We focus on Marine Isotopic Stage 3, characterized by large climatic fluctuations at northern latitudes, and compare the obtained records to the climatic records at Byrd ( Antarctica) and Summit (GISP2, Greenland) and to the North Atlantic Deep Water variations in the North Atlantic. Magnetic mineral deposition at the studied sites exhibits a profile with maxima at the time of Heinrich events H4 and H5, which suggests a strong Antarctic Circum Current when the North Atlantic Deep Water was reduced at northern latitude during these events. We show that an interhemispheric seesaw, characterized by temporary surface warmings in the southern hemisphere, is also marked by a strong Antarctic Circum Current at the time of the northern Heinrich events. The rapid Dansgaard-Oeschger oscillations evidenced in the northern records after interstadials IS12 and IS8 are not visible, suggesting a limited counterpart of these events in the midlatitude southern Indian Ocean.</t>
  </si>
  <si>
    <t>CEA, CNRS, Lab Sci Climat &amp; Environm, F-91198 Gif Sur Yvette, France; Univ Bordeaux 1, UMR 505, Dept Geol &amp; Oceanog, F-33405 Talence, France</t>
  </si>
  <si>
    <t>Universite Paris Saclay; CEA; Centre National de la Recherche Scientifique (CNRS); Universite de Bordeaux</t>
  </si>
  <si>
    <t>Mazaud, A (corresponding author), CEA, CNRS, Lab Sci Climat &amp; Environm, Domaine CNRS, F-91198 Gif Sur Yvette, France.</t>
  </si>
  <si>
    <t>mazaud@lsce.cnrs-gif.fr</t>
  </si>
  <si>
    <t>Catherine, Kissel/AAH-1647-2019; Marie-Alexandrine, Sicre/AAR-1516-2020</t>
  </si>
  <si>
    <t>Catherine, Kissel/0000-0002-2572-2742; Marie-Alexandrine, Sicre/0000-0002-5015-1400</t>
  </si>
  <si>
    <t>MAY 26</t>
  </si>
  <si>
    <t>Q05012</t>
  </si>
  <si>
    <t>10.1029/2006GC001532</t>
  </si>
  <si>
    <t>173AI</t>
  </si>
  <si>
    <t>WOS:000246845500002</t>
  </si>
  <si>
    <t>Bingham, RG; Siegert, MJ; Young, DA; Blankenship, DD</t>
  </si>
  <si>
    <t>Bingham, Robert G.; Siegert, Martin J.; Young, Duncan A.; Blankenship, Donald D.</t>
  </si>
  <si>
    <t>Organized flow from the South Pole to the Filchner-Ronne ice shelf: An assessment of balance velocities in interior East Antarctica using radio echo sounding data</t>
  </si>
  <si>
    <t>MASS-BALANCE; SPECTRAL ROUGHNESS; WEST ANTARCTICA; BED ROUGHNESS; SHEET; STREAMS; GLACIER; TRIBUTARIES; REFLECTIONS; TOPOGRAPHY</t>
  </si>
  <si>
    <t>[1] Ice flow through central Antarctica has the potential to transmit accumulation changes from deep-interior East Antarctica rapidly to the shelf, but it is poorly constrained owing to a dearth of ice-velocity observations. We use parameters derived from airborne radio echo sounding ( RES) data to examine the onset, areal extent, and englacial conditions of an organized flow network ( tributaries feeding an ice stream) draining from the South Pole to the Filchner-Ronne Ice Shelf. We classified RES flight tracks covering the region according to whether englacial stratigraphy was disrupted (i.e., internal layers diverged significantly from the surface and bed echoes) or undisrupted (i.e., internal layers closely parallel surface and basal topography), and we calculated subglacial roughness along basal reflectors. Where satellite-measured surface ice-flow speeds are available ( covering 39% of the study region), regions of fast and tributary flow correspond with RES flight tracks that exhibit more disrupted internal layers and smoother subglacial topography than their counterparts in regions of slow flow. This suggests that disrupted internal layering and smooth subglacial topography identified from RES profiles can be treated as indicators of past or present enhanced-flow tributaries where neither satellite nor ground-based ice-flow measurements are available. We therefore use these RES-derived parameters to assess the balance-flux-modeled steady state flow regime between the South Pole and Filchner-Ronne Ice Shelf. The RES analysis confirms that an organized flow network drains a wide region around the South Pole into the Filchner-Ronne Ice Shelf. However, the spatial extent of this network, as delineated by the RES data, diverges from that predicted by currently available balance-flux models.</t>
  </si>
  <si>
    <t>Univ Bristol, Ctr Polar Observ &amp; Modelling, Bristol Glaciol Ctr, Sch Geog Sci, Bristol, Avon, England; Univ Texas, John A &amp; Katherine G Jackson Sch Geosci, Inst Geophys, Austin, TX 78759 USA</t>
  </si>
  <si>
    <t>University of Bristol; University of Texas System; University of Texas Austin</t>
  </si>
  <si>
    <t>Bingham, RG (corresponding author), British Antarctic Survey, NERC, Madingley Rd, Cambridge CB3 0ET, England.</t>
  </si>
  <si>
    <t>rgbi@bas.ac.uk</t>
  </si>
  <si>
    <t>Siegert, Martin J/A-3826-2008; Blankenship, Donald D./G-5935-2010; Siegert, Martin/M-9939-2019; Young, Duncan/G-6256-2010; Bingham, Robert G/G-3576-2017</t>
  </si>
  <si>
    <t>Siegert, Martin J/0000-0002-0090-4806; Siegert, Martin/0000-0002-0090-4806; Young, Duncan/0000-0002-6866-8176; Bingham, Robert G/0000-0002-0630-2021</t>
  </si>
  <si>
    <t>NERC [cpom10001] Funding Source: UKRI; Natural Environment Research Council [cpom10001] Funding Source: researchfish</t>
  </si>
  <si>
    <t>F03S26</t>
  </si>
  <si>
    <t>10.1029/2006JF000556</t>
  </si>
  <si>
    <t>173BL</t>
  </si>
  <si>
    <t>WOS:000246848400002</t>
  </si>
  <si>
    <t>Vinoj, V; Anjan, A; Sudhakar, M; Satheesh, SK; Srinivasan, J; Moorthy, KK</t>
  </si>
  <si>
    <t>Vinoj, V.; Anjan, Anjit; Sudhakar, M.; Satheesh, S. K.; Srinivasan, J.; Moorthy, K. Krishna</t>
  </si>
  <si>
    <t>Latitudinal variation of aerosol optical depths from northern Arabian Sea to Antarctica</t>
  </si>
  <si>
    <t>ATLANTIC-OCEAN; INDIAN-OCEAN; ATMOSPHERIC AEROSOL; THICKNESS; MODIS; RETRIEVALS; PARAMETERS; GRADIENTS; HAZE</t>
  </si>
  <si>
    <t>Measurements of the spectral aerosol optical depths (AODs) were made over the Arabian Sea, Indian Ocean, Southern Ocean, and Antarctica during a trans-continental cruise experiment conducted during January to April 2006. Our investigations show that AODs ( at 500 nm) remain low ( &lt;= 0.1) and steady in the Southern Indian Ocean ( 20 degrees S to 40 degrees S). In contrast, large latitudinal gradients exist north of 20 degrees S. The AODs increase nearly exponentially from similar to 0.1 near Antarctica to reach a value as high as 0.7 in the northern Arabian Sea ( similar to 15 degrees N). The latitudinal gradients were larger in summer than in winter. The comparison of measured daily optical depths with those retrieved from MODIS satellite sensor showed good agreement ( within similar to 0.02) for regions north of 40 degrees S. The AODs were higher over remote oceans between 40 degrees S to 60 degrees S ( MODIS observations) latitudes as a result of enhanced sea-salt production due to high winds associated with the 'Roaring Forties.'</t>
  </si>
  <si>
    <t>Indian Inst Sci, Ctr Atmospher &amp; Ocean Sci, Bangalore 560012, Karnataka, India; Indian Meteorol Dept, Pune 411005, Maharashtra, India; Natl Ctr Antarctic &amp; Ocean Res, Vasco Da Gama 403804, Goa, India; Vikram Sarabhai Space Ctr, Space Phys Lab, Thiruvananthapuram 560012, Kerala, India</t>
  </si>
  <si>
    <t>Indian Institute of Science (IISC) - Bangalore; Ministry of Earth Sciences (MoES) - India; India Meteorological Department (IMD); Ministry of Earth Sciences (MoES) - India; National Centre for Polar and Ocean Research (NCPOR); Department of Space (DoS), Government of India; Indian Space Research Organisation (ISRO); Vikram Sarabhai Space Center (VSSC)</t>
  </si>
  <si>
    <t>Vinoj, V (corresponding author), Indian Inst Sci, Ctr Atmospher &amp; Ocean Sci, Bangalore 560012, Karnataka, India.</t>
  </si>
  <si>
    <t>profsks@gmail.com; msudhakar@ncaor.org; satheesh@caos.iisc.ernet.in; krishnamoorthy_k@vssc.gov.in</t>
  </si>
  <si>
    <t>MOORTHY, KRISHNA/AAG-6807-2019; Vinoj, V./C-3241-2008</t>
  </si>
  <si>
    <t>Vinoj, V./0000-0001-8573-6073; Moorthy, K. Krishna/0000-0002-7234-3868</t>
  </si>
  <si>
    <t>MAY 24</t>
  </si>
  <si>
    <t>L10807</t>
  </si>
  <si>
    <t>10.1029/2007GL029419</t>
  </si>
  <si>
    <t>173AL</t>
  </si>
  <si>
    <t>WOS:000246845800001</t>
  </si>
  <si>
    <t>Holland, PR; Feltham, DL; Jenkins, A</t>
  </si>
  <si>
    <t>Holland, Paul R.; Feltham, Daniel L.; Jenkins, Adrian</t>
  </si>
  <si>
    <t>Ice Shelf Water plume flow beneath Filchner-Ronne Ice Shelf, Antarctica</t>
  </si>
  <si>
    <t>OCEAN INTERACTION; WEDDELL SEA; THERMOHALINE CIRCULATION; BOTTOM WATER; MODEL; DYNAMICS; TEMPERATURE; SURFACE; RADAR; DEPTH</t>
  </si>
  <si>
    <t>[1] A two-dimensional plume model is used to study the interaction between Filchner-Ronne Ice Shelf, Antarctica and its underlying ocean cavity. Ice Shelf Water (ISW) plumes are initiated by the freshwater released from a melting ice shelf and, if they rise, may become supercooled and deposit marine ice due to the pressure increase in the in situ freezing temperature. The aim of this modeling study is to determine the origin of the thick accretions of marine ice at the base of Filchner-Ronne Ice Shelf and thus improve our understanding of ISW flow paths. The model domain is defined from measurements of ice shelf draft, and from this ISW the model is able to predict plumes that exit the cavity in the correct locations. The modeled plumes also produce basal freezing rates that account for measured marine ice thicknesses in the western part of Ronne Ice Shelf. We find that the freezing rate and plume properties are significantly influenced by the confluence of plumes from different meltwater sources. We are less successful in matching observations of marine ice under the rest of Filchner-Ronne Ice Shelf, which we attribute primarily to this model's neglect of circulations in the ocean outside the plume.</t>
  </si>
  <si>
    <t>British Antarctic Survey, Cambridge CB3 0ET, England; UCL, Ctr Polar Observat &amp; Modelling, London WC1E 6BT, England</t>
  </si>
  <si>
    <t>UK Research &amp; Innovation (UKRI); Natural Environment Research Council (NERC); NERC British Antarctic Survey; University of London; University College London</t>
  </si>
  <si>
    <t>Holland, PR (corresponding author), British Antarctic Survey, High Cross,Madingley Rd, Cambridge CB3 0ET, England.</t>
  </si>
  <si>
    <t>p.holland@bas.ac.uk; dlf@cpom.ucl.ac.uk; ajen@bas.ac.uk</t>
  </si>
  <si>
    <t>Jenkins, Adrian/IUN-2406-2023; Holland, Paul R/G-2796-2012</t>
  </si>
  <si>
    <t>Jenkins, Adrian/0000-0002-9117-0616; Feltham, Daniel/0000-0003-2289-014X</t>
  </si>
  <si>
    <t>Natural Environment Research Council [cpom10001, bas010014] Funding Source: researchfish; NERC [cpom10001, bas010014] Funding Source: UKRI</t>
  </si>
  <si>
    <t>C5</t>
  </si>
  <si>
    <t>C05044</t>
  </si>
  <si>
    <t>10.1029/2006JC003915</t>
  </si>
  <si>
    <t>173BQ</t>
  </si>
  <si>
    <t>WOS:000246848900003</t>
  </si>
  <si>
    <t>Barrows, TT; Juggins, S; De Deckker, P; Calvo, E; Pelejero, C</t>
  </si>
  <si>
    <t>Barrows, Timothy T.; Juggins, Steve; De Deckker, Patrick; Calvo, Eva; Pelejero, Carles</t>
  </si>
  <si>
    <t>Long-term sea surface temperature and climate change in the Australian-New Zealand region</t>
  </si>
  <si>
    <t>LAST GLACIAL MAXIMUM; SOUTHEASTERN NEW-ZEALAND; SOUTHWEST PACIFIC-OCEAN; VOSTOK ICE CORE; LATE QUATERNARY; SOUTHERN-HEMISPHERE; INDIAN-OCEAN; NORTH-ATLANTIC; GREENLAND; SCALE</t>
  </si>
  <si>
    <t>[1] We compile and compare data for the last 150,000 years from four deep-sea cores in the midlatitude zone of the Southern Hemisphere. We recalculate sea surface temperature estimates derived from foraminifera and compare these with estimates derived from alkenones and magnesium/calcium ratios in foraminiferal carbonate and with accompanying sedimentological and pollen records on a common absolute timescale. Using a stack of the highest-resolution records, we find that first-order climate change occurs in concert with changes in insolation in the Northern Hemisphere. Glacier extent and inferred vegetation changes in Australia and New Zealand vary in tandem with sea surface temperatures, signifying close links between oceanic and terrestrial temperature. In the Southern Ocean, rapid temperature change of the order of 6 degrees C occurs within a few centuries and appears to have played an important role in midlatitude climate change. Sea surface temperature changes over longer periods closely match proxy temperature records from Antarctic ice cores. Warm events correlate with Antarctic events A1-A4 and appear to occur just before Dansgaard-Oeschger events 8, 12, 14, and 17 in Greenland.</t>
  </si>
  <si>
    <t>Australian Natl Univ, Dept Nucl Phys, Canberra, ACT 0200, Australia; Univ Newcastle, Sch Geog Polit &amp; Sociol, Newcastle Upon Tyne NE1 7RU, Tyne &amp; Wear, England; Australian Natl Univ, Dept Earth &amp; Marine Sci, Canberra, ACT 0200, Australia; CSIC, Inst Ciencias Mar, CMIMA, E-08003 Barcelona, Spain; CSIC, CMIMA, Inst Catalana Rec &amp; Estudis Avancats, E-08003 Barcelona, Spain</t>
  </si>
  <si>
    <t>Australian National University; Newcastle University - UK; Australian National University; Consejo Superior de Investigaciones Cientificas (CSIC); CSIC - Centro Mediterraneo de Investigaciones Marinas y Ambientales (CMIMA); CSIC - Instituto de Ciencias del Mar (ICM); ICREA; Consejo Superior de Investigaciones Cientificas (CSIC); CSIC - Centro Mediterraneo de Investigaciones Marinas y Ambientales (CMIMA)</t>
  </si>
  <si>
    <t>Barrows, TT (corresponding author), Australian Natl Univ, Dept Nucl Phys, Canberra, ACT 0200, Australia.</t>
  </si>
  <si>
    <t>tim.barrows@anu.edu.au</t>
  </si>
  <si>
    <t>Calvo, Eva/C-2618-2014; Pelejero, Carles/AAF-4550-2019; Barrows, Timothy/A-1428-2008; Barrows, Timothy T/E-8471-2011; Juggins, Steve/D-1653-2010</t>
  </si>
  <si>
    <t>Calvo, Eva/0000-0003-3659-4499; Pelejero, Carles/0000-0002-7763-7769; Barrows, Timothy T/0000-0003-2614-7177; Juggins, Steve/0000-0003-4466-424X</t>
  </si>
  <si>
    <t>PA2215</t>
  </si>
  <si>
    <t>10.1029/2006PA001328</t>
  </si>
  <si>
    <t>173CF</t>
  </si>
  <si>
    <t>Green Published, Green Submitted</t>
  </si>
  <si>
    <t>WOS:000246850400001</t>
  </si>
  <si>
    <t>Crucian, B; Lee, P; Stowe, R; Jones, J; Effenhauser, R; Widen, R; Sams, C</t>
  </si>
  <si>
    <t>Crucian, Brian; Lee, Pascal; Stowe, Raymond; Jones, Jeff; Effenhauser, Rainer; Widen, Raymond; Sams, Clarence</t>
  </si>
  <si>
    <t>Immune system changes during simulated planetary exploration on Devon Island, high arctic</t>
  </si>
  <si>
    <t>BMC IMMUNOLOGY</t>
  </si>
  <si>
    <t>EPSTEIN-BARR-VIRUS; CELL-MEDIATED-IMMUNITY; SHORT-TERM SPACEFLIGHT; SPACE-FLIGHT; CYTOKINE PRODUCTION; ANTARCTIC WINTER; T-LYMPHOCYTES; SIGNAL-TRANSDUCTION; PERIPHERAL-BLOOD; FLOW-CYTOMETRY</t>
  </si>
  <si>
    <t>Background: Dysregulation of the immune system has been shown to occur during spaceflight, although the detailed nature of the phenomenon and the clinical risks for exploration class missions have yet to be established. Also, the growing clinical significance of immune system evaluation combined with epidemic infectious disease rates in third world countries provides a strong rationale for the development of field- compatible clinical immunology techniques and equipment. In July 2002 NASA performed a comprehensive immune assessment on field team members participating in the Haughton-Mars Project (HMP) on Devon Island in the high Canadian Arctic. The purpose of the study was to evaluate the effect of mission-associated stressors on the human immune system. To perform the study, the development of techniques for processing immune samples in remote field locations was required. Ten HMP-2002 participants volunteered for the study. A field protocol was developed at NASA-JSC for performing sample collection, blood staining/processing for immunophenotype analysis, whole-blood mitogenic culture for functional assessments and cell-sample preservation on-location at Devon Island. Specific assays included peripheral leukocyte distribution; constitutively activated T cells, intracellular cytokine profiles, plasma cortisol and EBV viral antibody levels. Study timepoints were 30 days prior to mission start, mid-mission and 60 days after mission completion. Results: The protocol developed for immune sample processing in remote field locations functioned properly. Samples were processed on Devon Island, and stabilized for subsequent analysis at the Johnson Space Center in Houston. The data indicated that some phenotype, immune function and stress hormone changes occurred in the HMP field participants that were largely distinct from pre-mission baseline and post-mission recovery data. These immune changes appear similar to those observed in astronauts following spaceflight. Conclusion: The immune system changes described during the HMP field deployment validate the use of the HMP as a ground-based spaceflight/planetary exploration analog for some aspects of human physiology. The sample processing protocol developed for this study may have applications for immune studies in remote terrestrial field locations. Elements of this protocol could possibly be adapted for future in-flight immunology studies conducted during space missions.</t>
  </si>
  <si>
    <t>NASA, Lyndon B Johnson Space Ctr, Wyle Labs, Houston, TX 77058 USA; SETI Inst, Mars Inst, Mountain View, CA 94043 USA; NASA, Ames Res Ctr, Mountain View, CA 94043 USA; Microgen Labs, La Marque, TX 77568 USA; Tampa Gen Hosp, Tampa, FL 33601 USA</t>
  </si>
  <si>
    <t>National Aeronautics &amp; Space Administration (NASA); NASA Johnson Space Center; National Aeronautics &amp; Space Administration (NASA); NASA Ames Research Center; Tampa General Hospital</t>
  </si>
  <si>
    <t>Crucian, B (corresponding author), NASA, Lyndon B Johnson Space Ctr, Wyle Labs, 1290 Hercules Dr, Houston, TX 77058 USA.</t>
  </si>
  <si>
    <t>bcrucian@ems.jsc.nasa.gov; pascal.lee@marsinstitute.info; rpstowe@microgenlabs.com; jeffrey.a.jones@nasa.gov; rainer.k.effenhauser@nasa.gov; rwiden@tgh.org; csams@ems.jsc.nasa.gov</t>
  </si>
  <si>
    <t>1471-2172</t>
  </si>
  <si>
    <t>BMC IMMUNOL</t>
  </si>
  <si>
    <t>BMC Immunol.</t>
  </si>
  <si>
    <t>MAY 23</t>
  </si>
  <si>
    <t>10.1186/1471-2172-8-7</t>
  </si>
  <si>
    <t>Immunology</t>
  </si>
  <si>
    <t>178IO</t>
  </si>
  <si>
    <t>WOS:000247214600001</t>
  </si>
  <si>
    <t>Mumford, KA; Northcott, KA; Shallcross, DC; Stevens, GW; Snape, I</t>
  </si>
  <si>
    <t>Mumford, Kathryn A.; Northcott, Kathy A.; Shallcross, David C.; Stevens, Geoff W.; Snape, Ian</t>
  </si>
  <si>
    <t>Development of a two parameter temperature-dependent semi-empirical thermodynamic ion exchange model using binary equilibria with Amberlite IRC 748 resin</t>
  </si>
  <si>
    <t>INDUSTRIAL &amp; ENGINEERING CHEMISTRY RESEARCH</t>
  </si>
  <si>
    <t>HEAVY-METAL IONS; AQUEOUS-SOLUTIONS; CHELATING RESIN; PREDICTION; ELECTROLYTES; SEAWATER; WATERS; SODIUM; NICKEL</t>
  </si>
  <si>
    <t>A chelating ion-exchange resin, Rhom and Haas Amberlite IRC 748, was investigated for the exchange of copper and sodium from aqueous solutions at four different temperatures. A two-parameter temperature-dependent, semiempirical thermodynamic ion exchange model was used to describe binary systems involving the ions Cu2+, Na+, and H+. To ensure that all experiments were conducted on purely binary systems, the resin was preconditioned into the hydrogen form. All experiments were conducted with Cl- as the nonexchanging anion and at temperatures of 4.0, 12.0, 20.0, and 40.0 +/- 0.1 degrees C. The semiempirical thermodynamic ion exchange model was shown to predict the shape of the equilibrium ion exchange curves accurately, despite the low concentrations of copper used in this study (0.001 57-0.007 87 N). There was a consistent increase in selectivity of the resin toward copper with an increase in temperature.</t>
  </si>
  <si>
    <t>Univ Melbourne, Particulate Fluids Proc Ctr, Dept Chem &amp; Biomol Engn, Parkville, Vic 3010, Australia; Australian Govt Antarctic Div, Environm Protect &amp; Change Program, Kingston, Tas 7050, Australia</t>
  </si>
  <si>
    <t>University of Melbourne; Australian Antarctic Division</t>
  </si>
  <si>
    <t>Northcott, KA (corresponding author), Univ Melbourne, Particulate Fluids Proc Ctr, Dept Chem &amp; Biomol Engn, Parkville, Vic 3010, Australia.</t>
  </si>
  <si>
    <t>kathyn@unimelb.edu.au</t>
  </si>
  <si>
    <t>Shallcross, David C/F-8078-2014; Mumford, Kathryn A/M-6566-2015</t>
  </si>
  <si>
    <t>Stevens, Geoffrey/0000-0002-5788-4682</t>
  </si>
  <si>
    <t>0888-5885</t>
  </si>
  <si>
    <t>IND ENG CHEM RES</t>
  </si>
  <si>
    <t>Ind. Eng. Chem. Res.</t>
  </si>
  <si>
    <t>10.1021/ie0615436</t>
  </si>
  <si>
    <t>Engineering, Chemical</t>
  </si>
  <si>
    <t>Engineering</t>
  </si>
  <si>
    <t>167XM</t>
  </si>
  <si>
    <t>WOS:000246485900031</t>
  </si>
  <si>
    <t>Hulbe, C; Fahnestock, M</t>
  </si>
  <si>
    <t>Hulbe, C.; Fahnestock, M.</t>
  </si>
  <si>
    <t>Century-scale discharge stagnation and reactivation of the Ross ice streams, West Antarctica</t>
  </si>
  <si>
    <t>GROUNDING-LINE RETREAT; HOLOCENE RETREAT; MASS-BALANCE; SIPLE COAST; FLOW; SHELF; SHEET; MARGIN; MODEL</t>
  </si>
  <si>
    <t>[1] Flow features on the surface of the Ross Ice Shelf, West Antarctica, record two episodes of ice stream stagnation and reactivation within the last 1000 years. We document these events using maps of streaklines emerging from individual ice streams made using visible band imagery, together with numerical models of ice shelf flow. Forward model experiments demonstrate that only a limited set of discharge scenarios could have produced the current streakline configuration. According to our analysis, Whillans Ice Stream ceased rapid flow about 850 calendar years ago and restarted about 400 years later and MacAyeal Ice Stream either stopped or slowed significantly between 800 and 700 years ago, restarting about 150 years later. Until now, ice-stream scenarios emphasized runaway retreat or stagnation on millennial timescales. Here we identify a new scenario: century-scale stagnation and reactivation cycles, as well as lateral communication with adjacent ice streams through thickness changes on lightly grounded ice plains. This introduces uncertainty into predictions for future sea-level withdrawals by the West Antarctic Ice Sheet, which are based in part on recent slowing of Whillans Ice Stream and the stagnant condition of Kamb Ice Stream.</t>
  </si>
  <si>
    <t>Portland State Univ, Dept Geol, Portland, OR 97207 USA; Univ New Hampshire, Inst Study Earth Oceans &amp; Space, Durham, NH 03824 USA</t>
  </si>
  <si>
    <t>Portland State University; University System Of New Hampshire; University of New Hampshire</t>
  </si>
  <si>
    <t>Hulbe, C (corresponding author), Portland State Univ, Dept Geol, Portland, OR 97207 USA.</t>
  </si>
  <si>
    <t>chulbe@pdx.edu</t>
  </si>
  <si>
    <t>Hulbe, Christina/0000-0003-4765-7037</t>
  </si>
  <si>
    <t>F03S27</t>
  </si>
  <si>
    <t>10.1029/2006JF000603</t>
  </si>
  <si>
    <t>173BJ</t>
  </si>
  <si>
    <t>WOS:000246848200001</t>
  </si>
  <si>
    <t>Jiang, X; Liu, B; Lebreton, S; De Brabander, JK</t>
  </si>
  <si>
    <t>Jiang, Xin; Liu, Bo; Lebreton, Sylvain; De Brabander, Jef K.</t>
  </si>
  <si>
    <t>Total synthesis and structure revision of the marine metabolite palmerolide A</t>
  </si>
  <si>
    <t>JOURNAL OF THE AMERICAN CHEMICAL SOCIETY</t>
  </si>
  <si>
    <t>SALICYLIHALAMIDE-A; V-ATPASE; MACROLIDE; ESTERS</t>
  </si>
  <si>
    <t>We describe a highly convergent and flexible synthesis of the novel antarctic marine metabolite palmerolide A-an effort leading to a reformulation of palmerolide A as ent-24, the enantiomer of the C19,C20-bis-epimer of the original proposed structure 1. Our total synthesis features a highly stereoselective vinylogous Mukaiyama aldol reaction to introduce the C19,C20-stereodiad, an efficient Suzuki cross-coupling to install the endocyclic diene unit, and an intramolecular Horner-Wadsworth-Emmons olefination to close the macrocycle. Starting from fragments 2, 3 (ent-3), and 13 (prepared in five to eight steps each, 38-70% overall yield) the synthesis of the proposed structure 1 and the enantiomer of palmerolide A (24) was completed in an additional 14 steps (22 steps longest linear sequence).</t>
  </si>
  <si>
    <t>Univ Texas, SW Med Ctr, Dept Biochem, Dallas, TX 75216 USA; Univ Texas, SW Med Ctr, Harold C Simmons Comprehens Canc Ctr, Dallas, TX 75216 USA</t>
  </si>
  <si>
    <t>University of Texas System; University of Texas Dallas; University of Texas Southwestern Medical Center Dallas; University of Texas System; University of Texas Southwestern Medical Center Dallas; University of Texas Dallas</t>
  </si>
  <si>
    <t>De Brabander, JK (corresponding author), Univ Texas, SW Med Ctr, Dept Biochem, 5323 Harry Hines Blvd, Dallas, TX 75216 USA.</t>
  </si>
  <si>
    <t>jef.debrabander@utsouthwestern.edu</t>
  </si>
  <si>
    <t>Liu, Bo/C-1643-2013</t>
  </si>
  <si>
    <t>Liu, Bo/0000-0002-6235-1573</t>
  </si>
  <si>
    <t>NCI NIH HHS [R01 CA090349-07, R01 CA090349-08, R01 CA090349-06A1, R01 CA090349, CA 90349] Funding Source: Medline</t>
  </si>
  <si>
    <t>NCI NIH HHS(United States Department of Health &amp; Human ServicesNational Institutes of Health (NIH) - USANIH National Cancer Institute (NCI))</t>
  </si>
  <si>
    <t>0002-7863</t>
  </si>
  <si>
    <t>1520-5126</t>
  </si>
  <si>
    <t>J AM CHEM SOC</t>
  </si>
  <si>
    <t>J. Am. Chem. Soc.</t>
  </si>
  <si>
    <t>10.1021/ja0715142</t>
  </si>
  <si>
    <t>Chemistry, Multidisciplinary</t>
  </si>
  <si>
    <t>Science Citation Index Expanded (SCI-EXPANDED); Index Chemicus (IC)</t>
  </si>
  <si>
    <t>Chemistry</t>
  </si>
  <si>
    <t>168PA</t>
  </si>
  <si>
    <t>WOS:000246535300021</t>
  </si>
  <si>
    <t>Ahn, JH; Brook, EJ</t>
  </si>
  <si>
    <t>Ahn, Jinho; Brook, Edward J.</t>
  </si>
  <si>
    <t>Atmospheric CO2 and climate from 65 to 30 ka BP</t>
  </si>
  <si>
    <t>LAST GLACIAL PERIOD; GREENLAND ICE-CORE; ANTARCTIC SEA-ICE; RAPID CHANGES; POLAR ICE; KYR BP; RECORD; AIR; TEMPERATURE; INSTABILITY</t>
  </si>
  <si>
    <t>Using new and existing ice core CO2 data from 65 similar to 30 ka a new chronology for CO2 is established and synchronized with Greenland ice core records to study how high latitude climate change and the carbon cycle were linked during the last glacial period. Atmospheric CO2 rose several thousand years before abrupt warming in Greenland associated with Dansgaard-Oeschger events, 8, 12, 14, 17, four large warm events that follow Heinrich events. The CO2 rise terminated at the onset of Greenland warming for each of these events. Atmospheric CO2 is strongly correlated with the Antarctic isotopic temperature proxy with an average time lag of 720 +/- 370 yr ( mean +/- 1 sigma) during the time interval studied. The new data and chronology should provide a better target for models attempting to explain CO2 variability and abrupt climate change.</t>
  </si>
  <si>
    <t>Oregon State Univ, Dept Geosci, Corvallis, OR 97331 USA</t>
  </si>
  <si>
    <t>Oregon State University</t>
  </si>
  <si>
    <t>Ahn, JH (corresponding author), Oregon State Univ, Dept Geosci, 104 Wilkinson Hall, Corvallis, OR 97331 USA.</t>
  </si>
  <si>
    <t>jinhoahn@gmail.com</t>
  </si>
  <si>
    <t>Brook, Edward/AAB-7807-2021</t>
  </si>
  <si>
    <t>MAY 22</t>
  </si>
  <si>
    <t>L10703</t>
  </si>
  <si>
    <t>10.1029/2007GL029551</t>
  </si>
  <si>
    <t>173AJ</t>
  </si>
  <si>
    <t>WOS:000246845600003</t>
  </si>
  <si>
    <t>Bromwich, DH; Fogt, RL; Hodges, KI; Walsh, JE</t>
  </si>
  <si>
    <t>Bromwich, David H.; Fogt, Ryan L.; Hodges, Kevin I.; Walsh, John E.</t>
  </si>
  <si>
    <t>A tropospheric assessment of the ERA-40, NCEP, and JRA-25 global reanalyses in the polar regions</t>
  </si>
  <si>
    <t>SURFACE MASS-BALANCE; SOUTHERN-HEMISPHERE; NCAR REANALYSIS; ATMOSPHERIC CIRCULATION; CYCLONE ACTIVITY; PART I; TRENDS; PRECIPITATION; TEMPERATURE; CLIMATE</t>
  </si>
  <si>
    <t>[1] The reliability of the global reanalyses in the polar regions is investigated. The overview stems from an April 2006 Scientific Committee on Antarctic Research ( SCAR) workshop on the performance of global reanalyses in high latitudes held at the British Antarctic Survey. Overall, the skill is much higher in the Arctic than the Antarctic, where the reanalyses are only reliable in the summer months prior to the modern satellite era. In the Antarctic, large circulation differences between the reanalyses are found primarily before 1979, when vast quantities of satellite sounding data started to be assimilated. Specifically for ERA-40, this data discontinuity creates a marked jump in Antarctic snow accumulation, especially at high elevations. In the Arctic, the largest differences are related to the reanalyses' depiction of clouds and their associated radiation impacts; ERA-40 captures the cloud variability much better than NCEP1 and JRA- 25, but the ERA-40 and JRA- 25 clouds are too optically thin for shortwave radiation. To further contrast the reanalyses skill, cyclone tracking results are presented. In the Southern Hemisphere, cyclonic activity is markedly different between the reanalyses, where there are few matched cyclones prior to 1979. In comparison, only some of the weaker cyclones are not matched in the Northern Hemisphere from 1958 - 2001, again indicating the superior skill in this hemisphere. Although this manuscript focuses on deficiencies in the reanalyses, it is important to note that they are a powerful tool for climate studies in both polar regions when used with a recognition of their limitations.</t>
  </si>
  <si>
    <t>Ohio State Univ, Byrd Polar Res Ctr, Polar Meteorol Grp, Columbus, OH 43210 USA; Ohio State Univ, Dept Geog, Atmospher Sci Program, Columbus, OH 43210 USA; Univ Reading, Environm Syst Sci Ctr, Reading RG6 6AL, Berks, England; Univ Alaska Fairbanks, Int Arctic Res Ctr, Fairbanks, AK 99775 USA</t>
  </si>
  <si>
    <t>University System of Ohio; Ohio State University; University System of Ohio; Ohio State University; University of Reading; University of Alaska System; University of Alaska Fairbanks</t>
  </si>
  <si>
    <t>Bromwich, DH (corresponding author), Ohio State Univ, Byrd Polar Res Ctr, Polar Meteorol Grp, 1090 Carmack Rd,108 Scott Hall, Columbus, OH 43210 USA.</t>
  </si>
  <si>
    <t>bromwich.1@osu.edu</t>
  </si>
  <si>
    <t>Walsh, John/GQI-2785-2022; Fogt, Ryan L/B-6989-2008; Bromwich, David H/C-9225-2016</t>
  </si>
  <si>
    <t>Walsh, John/0000-0002-2510-8734; Fogt, Ryan L/0000-0002-5398-3990; Walsh, John/0000-0001-9541-5927</t>
  </si>
  <si>
    <t>D10</t>
  </si>
  <si>
    <t>D10111</t>
  </si>
  <si>
    <t>10.1029/2006JD007859</t>
  </si>
  <si>
    <t>173AQ</t>
  </si>
  <si>
    <t>WOS:000246846300006</t>
  </si>
  <si>
    <t>Lanci, L; Kent, DV; Biscaye, PE</t>
  </si>
  <si>
    <t>Lanci, Luca; Kent, Dennis V.; Biscaye, Pierre E.</t>
  </si>
  <si>
    <t>Meteoric smoke concentration in the Vostok ice core estimated from superparamagnetic relaxation and some consequences for estimates of Earth accretion rate</t>
  </si>
  <si>
    <t>GREENLAND ICE; COSMIC DUST; MESOSPHERE; MAGNETIZATION; FALLOUT; CLIMATE; MODEL</t>
  </si>
  <si>
    <t>We measured the magnetization of glacial and interglacial ice from the Vostok core to estimate the meteoric smoke concentration in Antarctic ice. We have found that, within the uncertainty of the method, the smoke concentration in ice in Antarctica is equivalent to that previously measured in Greenland ice. The virtually identical smoke concentrations despite the different ice accumulation rates in Greenland and Antarctica suggest that wet deposition is the main deposition mechanism for such ultra-small particles. Given the typical scavenging ratios for atmospheric aerosols, this would imply that previous estimates of accretion rate based on dry deposition are likely to be appreciably overestimated.</t>
  </si>
  <si>
    <t>Univ Urbino, Fac Sci &amp; Technol, I-61029 Urbino, Italy; Rutgers State Univ, Dept Geol Sci, Piscataway, NJ 08854 USA; Lamont Doherty Earth Observ, Palisades, NY 10964 USA</t>
  </si>
  <si>
    <t>University of Urbino; Rutgers University System; Rutgers University New Brunswick; Columbia University</t>
  </si>
  <si>
    <t>Lanci, L (corresponding author), Univ Urbino, Fac Sci &amp; Technol, Campus Sci, I-61029 Urbino, Italy.</t>
  </si>
  <si>
    <t>llanci@uniurb.it</t>
  </si>
  <si>
    <t>Lanci, Luca/J-8823-2015</t>
  </si>
  <si>
    <t>Lanci, Luca/0000-0002-3389-6371; Kent, Dennis/0000-0002-7677-2993</t>
  </si>
  <si>
    <t>MAY 18</t>
  </si>
  <si>
    <t>L10803</t>
  </si>
  <si>
    <t>10.1029/2007GL029811</t>
  </si>
  <si>
    <t>172XO</t>
  </si>
  <si>
    <t>WOS:000246838300004</t>
  </si>
  <si>
    <t>Uotila, P; Lynch, AH; Cassano, JJ; Cullather, RI</t>
  </si>
  <si>
    <t>Uotila, P.; Lynch, A. H.; Cassano, J. J.; Cullather, R. I.</t>
  </si>
  <si>
    <t>Changes in Antarctic net precipitation in the 21st century based on Intergovernmental Panel on Climate Change (IPCC) model scenarios</t>
  </si>
  <si>
    <t>SELF-ORGANIZING MAPS; SOUTHERN-HEMISPHERE CLIMATE; SURFACE MASS-BALANCE; SOUTHWEST WESTERN-AUSTRALIA; POLAR ICE SHEETS; SEA-LEVEL; TEMPORAL VARIABILITY; SYNOPTIC CLIMATOLOGY; MOISTURE TRANSPORT; PART I</t>
  </si>
  <si>
    <t>[1] Projections from 15 global climate models and 2 reanalysis products ( National Center for Environmental Prediction (NCEP)/National Center for Atmospheric and Climate Research (NCAR) reanalysis (NNR) and European Centre for Medium-Range Weather Forecasts (ECMWF) 40-year reanalysis (ERA40)) were utilized to project changes in the net precipitation ( P - E) over the Southern Ocean and Antarctica during the 21st century. Three time periods, 1979 - 2000, 2046 - 2055, and 2091 - 2100, of data were compared. The P - E was related to a classification of synoptic circulation patterns obtained using a neural network algorithm known as self-organizing maps (SOMs). SOM classification was successfully used as a quality control tool to assess the simulated atmospheric circulation and model performance in P - E. The models predicted an increase of Antarctic P - E that averages 0.42 +/- 0.01 mm year(-1) for the coming hundred years based on the difference between 1979 - 2000 and 2091 - 2100. P - E changes of individual models ranged from 0.02 to 0.71 mm year(-1). P - E integrated over the entire Antarctic ice sheet was forecast to increase more quickly from the end of the twentieth century until 2046 - 2055 than from 2046 - 2055 until 2091 - 2100. Contributions to the predicted change in P - E were evaluated for both thermodynamic and dynamic processes. The projected change in Antarctic P - E was primarily due to thermodynamic changes rather than circulation changes. The dynamic component of P - E change, associated with the circulation, was important at subcontinental scales, especially over the coastal regions. The role of dynamic changes was maintained until the end of the 21st century. Intermodel variation in predicted P - E changes and differences between models and reanalyses in the twentieth-century simulations severely restrict the reliability of these projections and highlight the need for improved polar simulations in climate models.</t>
  </si>
  <si>
    <t>Monash Univ, Sch Geog &amp; Environm Sci, Clayton, Vic 3168, Australia; Univ Colorado, Cooperat Inst Res Environm Sci, Boulder, CO 80309 USA; Univ Colorado, Dept Atmospher &amp; Ocean Sci, Boulder, CO 80309 USA; Columbia Univ, Lamont Doherty Earth Observ, Div Ocean &amp; Climate Phys, New York, NY USA</t>
  </si>
  <si>
    <t>Monash University; University of Colorado System; University of Colorado Boulder; University of Colorado System; University of Colorado Boulder; Columbia University</t>
  </si>
  <si>
    <t>Uotila, P (corresponding author), Monash Univ, Sch Geog &amp; Environm Sci, Clayton, Vic 3168, Australia.</t>
  </si>
  <si>
    <t>petteri.uotila@arts.monash.edu.au</t>
  </si>
  <si>
    <t>Cassano, John/HKW-8817-2023; Uotila, Petteri/A-1703-2012; Lynch, Amanda/B-4278-2011</t>
  </si>
  <si>
    <t>Uotila, Petteri/0000-0002-2939-7561; Lynch, Amanda/0000-0003-2990-1016</t>
  </si>
  <si>
    <t>D10107</t>
  </si>
  <si>
    <t>10.1029/2006JD007482</t>
  </si>
  <si>
    <t>172XV</t>
  </si>
  <si>
    <t>WOS:000246839000002</t>
  </si>
  <si>
    <t>Pavoni, E; Cacchiarelli, D; Tittarelli, R; Orsini, M; Galtieri, A; Giardina, B; Brancaccio, A</t>
  </si>
  <si>
    <t>Pavoni, Ernesto; Cacchiarelli, Davide; Tittarelli, Roberta; Orsini, Massimiliano; Galtieri, Antonio; Giardina, Bruno; Brancaccio, Andrea</t>
  </si>
  <si>
    <t>Duplication of the dystroglycan gene in most branches of teleost fish</t>
  </si>
  <si>
    <t>BMC MOLECULAR BIOLOGY</t>
  </si>
  <si>
    <t>WHOLE-GENOME DUPLICATION; ALPHA-DYSTROGLYCAN; BETA-DYSTROGLYCAN; DEFECTIVE GLYCOSYLATION; EXTRACELLULAR-MATRIX; TERMINAL REGION; DYSTROPHIN; ZEBRAFISH; LOCALIZATION; DISRUPTION</t>
  </si>
  <si>
    <t>Background: The dystroglycan (DG) complex is a major non-integrin cell adhesion system whose multiple biological roles involve, among others, skeletal muscle stability, embryonic development and synapse maturation. DG is composed of two subunits: alpha-DG, extracellular and highly glycosylated, and the transmembrane beta-DG, linking the cytoskeleton to the surrounding basement membrane in a wide variety of tissues. A single copy of the DG gene (DAG1) has been identified so far in humans and other mammals, encoding for a precursor protein which is post-translationally cleaved to liberate the two DG subunits. Similarly, D. rerio (zebrafish) seems to have a single copy of DAG1, whose removal was shown to cause a severe dystrophic phenotype in adult animals, although it is known that during evolution, due to a whole genome duplication (WGD) event, many teleost fish acquired multiple copies of several genes (paralogues). Results: Data mining of pufferfish (T. nigroviridis and T. rubripes) and other teleost fish (O. latipes and G. aculeatus) available nucleotide sequences revealed the presence of two functional paralogous DG sequences. RT-PCR analysis proved that both the DG sequences are transcribed in T. nigroviridis. One of the two DG sequences harbours an additional mini-intronic sequence, 137 bp long, interrupting the uncomplicated exon-intron-exon pattern displayed by DAG1 in mammals and D. rerio. A similar scenario emerged also in D. labrax (sea bass), from whose genome we have cloned and sequenced a new DG sequence that also harbours a shorter additional intronic sequence of 116 bp. Western blot analysis confirmed the presence of DG protein products in all the species analysed including two teleost Antarctic species (T. bernacchii and C. hamatus). Conclusion: Our evolutionary analysis has shown that the whole-genome duplication event in the Class Actinopterygii (ray-finned fish) involved also DAG1. We unravelled new important molecular genetic details about fish orthologous DGs, which might help to increase the current knowledge on DG expression, maturation and targeting and on its physiopathological role in higher organisms.</t>
  </si>
  <si>
    <t>Univ Cattolica Sacro Cuore, CNR, Ist Chim Riconoscimento, Ist Biochim &amp; Biochim Clin, I-00168 Rome, Italy; Parco Sci &amp; Tecnol POLARIS, CRS4 Bioinformat Unit, I-09010 Pula, CA, Italy; Univ Messina, Dipartimento Chim Organ &amp; Biol, I-98122 Messina, Italy</t>
  </si>
  <si>
    <t>Consiglio Nazionale delle Ricerche (CNR); Catholic University of the Sacred Heart; IRCCS Policlinico Gemelli; University of Messina</t>
  </si>
  <si>
    <t>Brancaccio, A (corresponding author), Univ Cattolica Sacro Cuore, CNR, Ist Chim Riconoscimento, Ist Biochim &amp; Biochim Clin, Largo F Vito 1, I-00168 Rome, Italy.</t>
  </si>
  <si>
    <t>ernesto.pavoni@icrm.cnr.it; davide.kun@gmail.com; roberta.tittarelli@tin.it; orsini@crs4.it; galtieri@isengard.unime.it; bruno.giardina@icrm.cnr.it; andrea.brancaccio@icrm.cnr.it</t>
  </si>
  <si>
    <t>Orsini, Massimiliano/C-2337-2016; Brancaccio, Andrea/C-5876-2009; orsini, massimiliano/AAB-1887-2019; Tittarelli, Roberta/AAD-2823-2022; Cacchiarelli, Davide/AAC-2693-2022</t>
  </si>
  <si>
    <t>Orsini, Massimiliano/0000-0003-0087-3349; Brancaccio, Andrea/0000-0003-4690-8826; orsini, massimiliano/0000-0003-0087-3349; Tittarelli, Roberta/0000-0002-0561-3442; Cacchiarelli, Davide/0000-0002-9621-6716</t>
  </si>
  <si>
    <t>1471-2199</t>
  </si>
  <si>
    <t>BMC MOL BIOL</t>
  </si>
  <si>
    <t>BMC Mol. Biol.</t>
  </si>
  <si>
    <t>MAY 17</t>
  </si>
  <si>
    <t>10.1186/1471-2199-8-34</t>
  </si>
  <si>
    <t>175MR</t>
  </si>
  <si>
    <t>hybrid, Green Published</t>
  </si>
  <si>
    <t>WOS:000247018200001</t>
  </si>
  <si>
    <t>Schmidt, GA; LeGrande, AN; Hoffmann, G</t>
  </si>
  <si>
    <t>Schmidt, Gavin A.; LeGrande, Allegra N.; Hoffmann, Georg</t>
  </si>
  <si>
    <t>Water isotope expressions of intrinsic and forced variability in a coupled ocean-atmosphere model</t>
  </si>
  <si>
    <t>GENERAL-CIRCULATION MODEL; GLOBAL CLIMATE MODEL; ANTARCTIC ICE; SEA-ICE; INTERANNUAL VARIABILITY; DEUTERIUM EXCESS; STABLE-ISOTOPES; ASIAN MONSOON; INDIAN-OCEAN; GISS MODELE</t>
  </si>
  <si>
    <t>[1] Water isotopes provide a clear record of past climate variability but establishing their precise relationship to local or regional climate changes is the key to quantitative interpretations. We have incorporated water isotope tracers within the complete hydrological cycle of Goddard Institute for Space Studies coupled ocean-atmosphere model (ModelE) in order to assess these relationships. Using multicentennial simulations of the modern (preindustrial) and mid-Holocene ( 6 kyr BP) climate, we examine the internal variability and the forced response to orbital and greenhouse gas forcing. Modelled isotopic anomalies clearly reflect climatic changes and, particularly in the tropics, are more regionally coherent than the precipitation anomalies. Matches to observations at the mid-Holocene and over the instrumental period are good. We calculate water isotope-climate relationships for many patterns of intrinsic and for forced variability relevant to the Holocene, and we show that in general, calibrations depend on the nature of the climate change. Specifically, we examine relationships between isotopes in precipitation and local temperatures and precipitation amounts in the principal ice coring regions ( Greenland, Antarctica, and the tropical Andes) and the seawater isotope-salinity gradients in the ocean. We suggest that isotope-based climate reconstructions based on spatial patterns and nonlocal calibrations will be more robust than interpretations based on local relationships.</t>
  </si>
  <si>
    <t>Columbia Univ, NASA, Goddard Inst Space Studies, New York, NY 10025 USA; Lab Sci Climat &amp; Environm, F-91191 Gif Sur Yvette, France; Columbia Univ, NASA, Ctr Climate Syst Res, New York, NY 10025 USA</t>
  </si>
  <si>
    <t>National Aeronautics &amp; Space Administration (NASA); NASA Goddard Space Flight Center; Goddard Institute for Space Studies; Columbia University; CEA; Centre National de la Recherche Scientifique (CNRS); Universite Paris Saclay; Columbia University; National Aeronautics &amp; Space Administration (NASA)</t>
  </si>
  <si>
    <t>Schmidt, GA (corresponding author), Columbia Univ, NASA, Goddard Inst Space Studies, 2880 Broadway, New York, NY 10025 USA.</t>
  </si>
  <si>
    <t>gschmidt@giss.nasa.gov; legrande@giss.nasa.gov; hoffmann@lsce.saclay.cea.fr</t>
  </si>
  <si>
    <t>Schmidt, Gavin/D-4427-2012; LeGrande, Allegra N./D-8920-2012</t>
  </si>
  <si>
    <t>Schmidt, Gavin/0000-0002-2258-0486; LeGrande, Allegra N./0000-0002-5295-0062</t>
  </si>
  <si>
    <t>D10103</t>
  </si>
  <si>
    <t>10.1029/2006JD007781</t>
  </si>
  <si>
    <t>172XU</t>
  </si>
  <si>
    <t>WOS:000246838900004</t>
  </si>
  <si>
    <t>Brandt, A; Gooday, AJ; Brandao, SN; Brix, S; Brökeland, W; Cedhagen, T; Choudhury, M; Cornelius, N; Danis, B; De Mesel, I; Diaz, RJ; Gillan, DC; Ebbe, B; Howe, JA; Janussen, D; Kaiser, S; Linse, K; Malyutina, M; Pawlowski, J; Raupach, M; Vanreusel, A</t>
  </si>
  <si>
    <t>Brandt, Angelika; Gooday, Andrew J.; Brandao, Simone N.; Brix, Saskia; Broekeland, Wiebke; Cedhagen, Tomas; Choudhury, Madhumita; Cornelius, Nils; Danis, Bruno; De Mesel, Ilse; Diaz, Robert J.; Gillan, David C.; Ebbe, Brigitte; Howe, John A.; Janussen, Dorte; Kaiser, Stefanie; Linse, Katrin; Malyutina, Marina; Pawlowski, Jan; Raupach, Michael; Vanreusel, Ann</t>
  </si>
  <si>
    <t>First insights into the biodiversity and biogeography of the Southern Ocean deep sea</t>
  </si>
  <si>
    <t>SPECIES-DIVERSITY; BENTHIC DIVERSITY; WEDDELL SEA; ECOLOGY; ORIGIN; SCALE; FORAMINIFERA; ANTARCTICA; PERACARIDA; CRUSTACEA</t>
  </si>
  <si>
    <t>Shallow marine benthic communities around Antarctica show high levels of endemism, gigantism, slow growth, longevity and late maturity, as well as adaptive radiations that have generated considerable biodiversity in some taxa(1). The deeper parts of the Southern Ocean exhibit some unique environmental features, including a very deep continental shelf(2) and a weakly stratified water column, and are the source for much of the deep water in the world ocean. These features suggest that deep-sea faunas around the Antarctic may be related both to adjacent shelf communities and to those in other oceans. Unlike shallow-water Antarctic benthic communities, however, little is known about life in this vast deep-sea region(2,3). Here, we report new data from recent sampling expeditions in the deep Weddell Sea and adjacent areas ( 748 - 6,348 m water depth) that reveal high levels of new biodiversity; for example, 674 isopods species, of which 585 were new to science. Bathymetric and biogeographic trends varied between taxa. In groups such as the isopods and polychaetes, slope assemblages included species that have invaded from the shelf. In other taxa, the shelf and slope assemblages were more distinct. Abyssal faunas tended to have stronger links to other oceans, particularly the Atlantic, but mainly in taxa with good dispersal capabilities, such as the Foraminifera. The isopods, ostracods and nematodes, which are poor dispersers, include many species currently known only from the Southern Ocean. Our findings challenge suggestions that deep-sea diversity is depressed in the Southern Ocean and provide a basis for exploring the evolutionary significance of the varied biogeographic patterns observed in this remote environment.</t>
  </si>
  <si>
    <t>Zool Museum Hamburg, D-20146 Hamburg, Germany; Natl Oceanog Ctr, Southampton SO14 3ZH, Hants, England; Univ Aarhus, Dept Marine Ecol, DK-8200 Aarhus, Denmark; Inst Royal Sci Nat Belgique, B-1000 Brussels, Belgium; Univ Ghent, Dept Biol, Marine Biol Sect, B-9000 Ghent, Belgium; Virginia Inst Marine Sci, Coll William &amp; Mary, Gloucester Point, VA 23062 USA; Univ Libre Bruxelles, Marine Biol Lab, B-1050 Brussels, Belgium; Forschungsmuseum Konig, Forschungsinst Senckenberg, DZMB CeDAMar, D-53113 Bonn, Germany; Scottish Assoc Marine Sci, Dunstaffnage Marine Lab, Oban PA37 1QA, Argyll, Scotland; Forschungs &amp; Nat Museum Senckenberg, D-60325 Frankfurt, Germany; British Antarctic Survey, NERC, Cambridge CB3 0ET, England; FEB RAS, Inst Marine Biol, Vladivostok 690041, Russia; Univ Geneva, Dept Zool &amp; Anim Biol, CH-1211 Geneva 4, Switzerland; Ruhr Univ Bochum, D-44780 Bochum, Germany</t>
  </si>
  <si>
    <t>University of Hamburg; NERC National Oceanography Centre; Aarhus University; Ghent University; William &amp; Mary; Virginia Institute of Marine Science; Universite Libre de Bruxelles; Senckenberg Gesellschaft fur Naturforschung (SGN); UHI Millennium Institute; UK Research &amp; Innovation (UKRI); Natural Environment Research Council (NERC); NERC British Antarctic Survey; Russian Academy of Sciences; National Scientific Center of Marine Biology, Far East Branch of the Russian Academy of Sciences; University of Geneva; Ruhr University Bochum</t>
  </si>
  <si>
    <t>Brandt, A (corresponding author), Zool Museum Hamburg, Martin Luther King Pl 3, D-20146 Hamburg, Germany.</t>
  </si>
  <si>
    <t>abrandt@zoologie.uni-hamburg.de</t>
  </si>
  <si>
    <t>Pawlowski, Jan/JNS-6857-2023; Raupach, Michael J./AAF-7566-2020; Danis, Bruno/AAS-8444-2021; Gooday, Andrew/ABB-4267-2020; Brandt, Angelika/C-1630-2018; Malyutina, Marina/A-6839-2014; Gooday, Andrew/AAH-8991-2021; Raupach, Michael/G-7072-2012; Malyutina, Marina/JAC-6506-2023; Brandao, Simone/C-9416-2013; Cedhagen, Tomas/J-6426-2013</t>
  </si>
  <si>
    <t>Raupach, Michael J./0000-0001-8299-6697; Danis, Bruno/0000-0002-9037-7623; Gooday, Andrew/0000-0002-5661-7371; Brandao, Simone/0000-0002-3487-6129; Kaiser, Stefanie/0000-0003-2026-4663; Linse, Katrin/0000-0003-3477-3047; Cedhagen, Tomas/0000-0003-4550-8177; Malyutina, Marina/0000-0003-2161-3917</t>
  </si>
  <si>
    <t>Natural Environment Research Council [soc010009, bas010015] Funding Source: researchfish; NERC [soc010009, bas010015] Funding Source: UKRI</t>
  </si>
  <si>
    <t>10.1038/nature05827</t>
  </si>
  <si>
    <t>168JK</t>
  </si>
  <si>
    <t>WOS:000246520300043</t>
  </si>
  <si>
    <t>Murata, A; Kumamoto, Y; Watanabe, S; Fukasawa, M</t>
  </si>
  <si>
    <t>Murata, Akihiko; Kumamoto, Yuichiro; Watanabe, Shuichi; Fukasawa, Masao</t>
  </si>
  <si>
    <t>Decadal increases of anthropogenic CO2 in the South Pacific subtropical ocean along 32°S</t>
  </si>
  <si>
    <t>DISSOLVED INORGANIC CARBON; INDIAN-OCEAN; NORTH PACIFIC; ALKALINITY; SEAWATER; THERMODYNAMICS; DISSOCIATION; INVENTORY; PCO(2); ACID</t>
  </si>
  <si>
    <t>[1] To estimate decadal increases of anthropogenic CO2 in the ocean, distributions of dissolved inorganic carbon (CT) corrected by apparent oxygen utilization and salinity (nC(T)(ANT)) were investigated along the World Ocean Circulation Experiment (WOCE Hydrographic Programme (WHP)) P6 section based on data obtained 10 years apart. Significant increases of nC(T)(CAL) were detected down to 1500 m (congruent to 27.5 sigma(theta)) water depth, above which the Sub-Antarctic Mode Water (SAMW) and the Antarctic Intermediate Water (AAIW) are found. The decadal increases of nC(T)(CAL) on the isopycnal surfaces (26.6 - 26.9 sigma(theta)) of SAMW were higher ( 5 - 8 mu mol kg(-1)) to the east of 160 degrees W than to the west of it, while the increases in AAIW were almost constant on the isopycnal surfaces (27.0 - 27.5 sigma(theta)). The averaged increases of nC(T)(CAL) in SAMW and AAIW were 10 +/- 3.1 and 4.1 +/- 2.0 mu mol kg(-1), respectively. Small but significant increases of nC(T)(CAL) and salinity-normalized C-T (nC(T)) were also found ( approximately 3.0 and 5.0 mu mol kg(-1), respectively) in abyssal waters occupying depths greater than 3500 m at longitude 180 degrees - 160 degrees W, which correspond to Circumpolar Deep Water. Spatial differences of anthropogenic CO2 accumulation are discussed in terms of water mass distributions. The water column inventory of increases of anthropogenic CO2 in the South Pacific subtropical ocean was estimated to be 1.0 +/- 0.4 mol m(-2) yr(-1), which is almost the same as that previously reported.</t>
  </si>
  <si>
    <t>Japan Agcy Marine Earth Sci &amp; Technol, Inst Observat Res Global Change, Kanagawa 2370061, Japan</t>
  </si>
  <si>
    <t>Murata, A (corresponding author), Japan Agcy Marine Earth Sci &amp; Technol, Inst Observat Res Global Change, 2-15 Natsushima, Kanagawa 2370061, Japan.</t>
  </si>
  <si>
    <t>akihiko.murata@jamstec.go.jp</t>
  </si>
  <si>
    <t>MAY 16</t>
  </si>
  <si>
    <t>C05033</t>
  </si>
  <si>
    <t>10.1029/2005JC003405</t>
  </si>
  <si>
    <t>172YD</t>
  </si>
  <si>
    <t>WOS:000246839800002</t>
  </si>
  <si>
    <t>Polonia, A; Torelli, L; Brancolini, G; Loreto, MF</t>
  </si>
  <si>
    <t>Polonia, A.; Torelli, L.; Brancolini, G.; Loreto, M.-F.</t>
  </si>
  <si>
    <t>Tectonic accretion versus erosion along the southern Chile trench: Oblique subduction and margin segmentation</t>
  </si>
  <si>
    <t>TECTONICS</t>
  </si>
  <si>
    <t>TIERRA-DEL-FUEGO; OCEAN DRILLING PROGRAM; RELATIVE PLATE MOTIONS; FORE-ARC BASINS; CONVERGENT MARGIN; ANTARCTIC PENINSULA; CONTINENTAL-MARGIN; LANDWARD VERGENCE; STRUCTURAL TRENDS; ZONE EARTHQUAKES</t>
  </si>
  <si>
    <t>[1] The southernmost tip of South America is an active continental margin where oblique convergence between plates, transcurrent motion, and tectonic rotation on land make the geodynamic setting more complex than that of the central Andes. A multichannel seismic data set has been used in conjunction with multibeam and altimetry data to clarify the regional architecture of the continental margin from 50 degrees S to 57 degrees S. Despite the thick sedimentary section in the trench and the slow plate convergence rate peculiar of typical accretionary margins, seismic reflection profiles image widely varying frontal wedge morphologies, different rates of accretion, a high degree of structural diversity, and different modes of continental building (offscraping, underplating, tectonic erosion). Correlation between structural parameters ( depth of the decollement level, width of the wedge, accretionary rates, Moho depth) suggests large-scale structural control on margin geometry and structural diversity. The transition from tectonic accretion to erosion and general structural variations do not show any gradual trend, but rather, they occur along oblique structural trends that produce a tectonic segmentation of the margin. This is mainly related to tectonic processes on the overriding plate ( block rotations along strike-slip faults), while local disturbances on the incoming plate (seamounts, fracture zones, and oceanic fabric relative orientation) add further structural complexity. Altimetry data, in conjunction with structural analysis, suggest that large-scale tectonic variations and structural development are related to trench-parallel gravity anomaly variations and, ultimately, to basal friction on the plate interface. Strong negative gravity anomalies are associated with sedimentary basins, wide wedges, and accretionary domains, while positive gravity anomalies mainly refer to transverse structural highs and narrow wedges.</t>
  </si>
  <si>
    <t>Ist Nazl Oceanog &amp; Geofis Sperimentale, I-34010 Sgonico, TS, Italy; Univ Parma, Dipartimento Sci Terra, I-43100 Parma, Italy; CNR, Ist Sci Marine, Bologna, Italy</t>
  </si>
  <si>
    <t>Istituto Nazionale di Oceanografia e di Geofisica Sperimentale; University of Parma; Consiglio Nazionale delle Ricerche (CNR); Istituto di Scienze Marine (ISMAR-CNR)</t>
  </si>
  <si>
    <t>Polonia, A (corresponding author), ISMAR CNR, Via Gobetti 101, Bologna, Italy.</t>
  </si>
  <si>
    <t>alina.polonia@ismar.cnr.it</t>
  </si>
  <si>
    <t>Loreto, Maria Filomena/AAY-4782-2020; CNR, Ismar/P-1247-2014; Polonia, Alina/F-4801-2018</t>
  </si>
  <si>
    <t>Loreto, Maria Filomena/0000-0003-1960-8684; CNR, Ismar/0000-0001-5351-1486; Polonia, Alina/0000-0002-1700-453X; Torelli, Luigi/0000-0002-8694-9385</t>
  </si>
  <si>
    <t>0278-7407</t>
  </si>
  <si>
    <t>1944-9194</t>
  </si>
  <si>
    <t>Tectonics</t>
  </si>
  <si>
    <t>TC3005</t>
  </si>
  <si>
    <t>10.1029/2006TC001983</t>
  </si>
  <si>
    <t>172YU</t>
  </si>
  <si>
    <t>WOS:000246841500001</t>
  </si>
  <si>
    <t>Bamber, JL; Alley, RB; Joughin, I</t>
  </si>
  <si>
    <t>Bamber, Jonathan L.; Alley, Richard B.; Joughin, Ian</t>
  </si>
  <si>
    <t>Rapid response of modern day ice sheets to external forcing</t>
  </si>
  <si>
    <t>ice sheets; climate change; sea level; Greenland; Antarctica</t>
  </si>
  <si>
    <t>PINE ISLAND GLACIER; SEA-LEVEL RISE; ANTARCTIC PENINSULA; MASS-BALANCE; JAKOBSHAVN ISBRAE; WEST ANTARCTICA; CLIMATE-CHANGE; SURFACE MELT; WATER-FLOW; GREENLAND</t>
  </si>
  <si>
    <t>The great ice sheets covering Antarctica and Greenland were, traditionally, believed to take thousands of years to respond to external forcing. Recent observations suggest, however, that major changes in the dynamics of parts of the ice sheets are taking place over timescales of years. These changes were not predicted by numerical models, and the underlying cause(s) remains uncertain. It has been suggested that regional oceanic and/or atmospheric warming are responsible but separating the influence and importance of these two forcings has not been possible. In most cases, the role of atmospheric versus oceanic control remains uncertain. Here, we review the observations of rapid change and discuss the possible mechanisms, in the light of advances in numerical modelling and our understanding of the processes that may be responsible. (c) 2007 Elsevier B.V. All rights reserved.</t>
  </si>
  <si>
    <t>Univ Bristol, Sch Geog Sci, Bristol Glaciol Ctr, Bristol BS8 1SS, Avon, England; Penn State Univ, Dept Geosci, University Pk, PA 16802 USA; Penn State Univ, EMS EESI, University Pk, PA 16802 USA; Univ Washington, Appl Phys Lab, Seattle, WA 98105 USA</t>
  </si>
  <si>
    <t>University of Bristol; 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Washington; University of Washington Seattle</t>
  </si>
  <si>
    <t>Bamber, JL (corresponding author), Univ Bristol, Sch Geog Sci, Bristol Glaciol Ctr, Bristol BS8 1SS, Avon, England.</t>
  </si>
  <si>
    <t>j.bamber@bristol.ac.uk</t>
  </si>
  <si>
    <t>Joughin, Ian R/A-2998-2008; Joughin, Ian/AAR-7778-2021; Bamber, Jonathan/C-7608-2011</t>
  </si>
  <si>
    <t>Joughin, Ian R/0000-0001-6229-679X; Joughin, Ian/0000-0001-6229-679X; Bamber, Jonathan/0000-0002-2280-2819</t>
  </si>
  <si>
    <t>Natural Environment Research Council [NER/T/S/2002/00462] Funding Source: researchfish</t>
  </si>
  <si>
    <t>MAY 15</t>
  </si>
  <si>
    <t>10.1016/j.epsl.2007.03.005</t>
  </si>
  <si>
    <t>173FE</t>
  </si>
  <si>
    <t>WOS:000246858100001</t>
  </si>
  <si>
    <t>Gully, A; Backstrom, LGE; Eicken, H; Golden, KM</t>
  </si>
  <si>
    <t>Gully, A.; Backstrom, L. G. E.; Eicken, H.; Golden, K. M.</t>
  </si>
  <si>
    <t>Complex bounds and microstructural recovery from measurements of sea ice permittivity</t>
  </si>
  <si>
    <t>PHYSICA B-CONDENSED MATTER</t>
  </si>
  <si>
    <t>7th International Conference on Electrical Transport and Optical Properties of Inhomogeneous Media (ETOPIM-7)</t>
  </si>
  <si>
    <t>JUL 09-13, 2006</t>
  </si>
  <si>
    <t>Sydney, AUSTRALIA</t>
  </si>
  <si>
    <t>sea ice; complex permittivity; bounds; microstructural inversion; sea ice thickness</t>
  </si>
  <si>
    <t>ELECTROMAGNETIC SCATTERING MODELS; DIELECTRIC-CONSTANT; 2-COMPONENT COMPOSITE; RIGOROUS BOUNDS; PARAMETERS; MEDIA</t>
  </si>
  <si>
    <t>Sea ice is a porous composite of pure ice with brine, air, and salt inclusions. The polar sea ice packs play a key role in the earth's ocean-climate system, and they host robust algal and bacteria] communities that support the Arctic and Antarctic ecosystems. Monitoring the sea ice packs on global or regional scales is an increasingly important problem, typically involving the interaction of an electromagnetic wave with sea ice. In the quasistatic regime where the wavelength is much longer than the composite microstructural scale, the electromagnetic behavior is characterized by the effective complex permittivity tensor epsilon*. In assessing the impact of climate change on the polar sea ice covers, current satellites and algorithms can predict ice extent, but the thickness distribution remains an elusive, yet most important feature. In recent years, electromagnetic induction devices using low frequency waves have been deployed on ships, helicopters and planes to obtain thickness data. Here we compare two sets of theoretical bounds to extensive outdoor tank and in situ field data on epsilon* at 50 MHz taken in the Arctic and Antarctic. The sea ice is assumed to be a two phase composite of ice and brine with known constituent permittivities. The first set of bounds assumes only knowledge of the brine volume fraction or porosity, and the second set further assumes statistical isotropy of the microstructure. We obtain excellent agreement between theory and experiment, and are able to observe the apparent violation of the isotropic bounds as the vertically oriented microstructure becomes increasingly connected for higher porosities. Moreover, these bounds are inverted to obtain estimates of the porosity from the measurements of epsilon*. We find that the temporal variations of the reconstructed porosity, which is directly related to temperature, closely follow the actual behavior. (c) 2007 Elsevier B.V. All rights reserved.</t>
  </si>
  <si>
    <t>Univ Utah, Dept Math, Salt Lake City, UT 84112 USA; Univ Alaska, Inst Geophys, Fairbanks, AK 99775 USA</t>
  </si>
  <si>
    <t>Utah System of Higher Education; University of Utah; University of Alaska System; University of Alaska Fairbanks</t>
  </si>
  <si>
    <t>Golden, KM (corresponding author), Univ Utah, Dept Math, 155 S 1400 E RM 233, Salt Lake City, UT 84112 USA.</t>
  </si>
  <si>
    <t>c-gyas@math.utah.edu; larsg@gi.alaska.edu; hajo.eicken@gi.alaska.edu; golden@math.utah.edu</t>
  </si>
  <si>
    <t>Eicken, Hajo/M-6901-2016</t>
  </si>
  <si>
    <t>0921-4526</t>
  </si>
  <si>
    <t>1873-2135</t>
  </si>
  <si>
    <t>PHYSICA B</t>
  </si>
  <si>
    <t>Physica B</t>
  </si>
  <si>
    <t>10.1016/j.physb.2006.12.067</t>
  </si>
  <si>
    <t>Physics, Condensed Matter</t>
  </si>
  <si>
    <t>170DT</t>
  </si>
  <si>
    <t>WOS:000246642900050</t>
  </si>
  <si>
    <t>Di Celma, C; Cantalamessa, G</t>
  </si>
  <si>
    <t>Di Celma, Claudio; Cantalamessa, Gino</t>
  </si>
  <si>
    <t>Sedimentology and high-frequency sequence stratigraphy of a forearc extensional basin: The Miocene Caleta Herradura Formation, Mejillones Peninsula, northern Chile</t>
  </si>
  <si>
    <t>Miocene; extensional basin; northern Chile; high-frequency sequence stratigraphy</t>
  </si>
  <si>
    <t>BAJA-CALIFORNIA-SUR; ANTARCTIC ICE-SHEET; FAULT-BOUNDED BASIN; PLIOCENE-PLEISTOCENE; WANGANUI BASIN; CROTONE BASIN; COASTAL CORDILLERA; STACKING PATTERN; ATACAMA DESERT; LORETO BASIN</t>
  </si>
  <si>
    <t>Facies and sequence stratigraphic interpretation for the 380-m-thick Caleta Herradura Formation (Miocene) are presented, based on detailed and comprehensive outcrop data from the Caleta Herradura half-graben, Mejillones Peninsula, northern Chile. The Caleta Herradura Formation contains an array of lithofacies comprising sandstones, sandy mudstones, diatomites and breccio-conglomerates that are interpreted as the products of inner-shelf to non-marine depositional settings. Complete exposure allows for recognition of a number of distinct and laterally persistent key stratal surfaces that permitted the identification of twenty-five high-frequency (meter to tens of meters-scale) sequences. Based on their internal organization, two main motifs of such unconformity-bounded depositional packages can be distinguished: deepening and deepening-to-shallowing upwards. Transgressive and highstand systems tracts were resolved based on such facies stacking patterns. The origin of sequences is difficult to decipher and remains somewhat uncertain. However, several lines of direct and indirect evidence constrain interpretations for both the sequence architecture and bounding unconformities, and help to discriminate between the various mechanisms that may have driven their development. In essence, these demonstrate that neither tectonically driven sea-level oscillations nor climatically induced changes in sediment supply can adequately explain the distinctive features of unconformities and the facies architecture of sediments they delimit. Instead, these high-frequency changes in relative sea level are best explained as a consequence of glacio-eustatic oscillations. The contemporaneous deep-ocean proxy records appear to support a causal link between the observed stratigraphic cyclicity and glacio-eustatic changes in sea level due to modulation of short-term Milankovitch-scale events by longer-period astronomical variations. However, the type of astronomical forcing remains elusive, hindered by lack of adequate age controls and a poor understanding of pacing mechanisms of high-frequency climate changes during the middle to late Miocene. (C) 2006 Elsevier B.V All rights reserved.</t>
  </si>
  <si>
    <t>Univ Camerino, Dipartimento Sci Terra, I-62032 Camerino, Macerata, Italy</t>
  </si>
  <si>
    <t>Di Celma, C (corresponding author), Dept Earth &amp; Ocean Sci, 4 Brownlow St, Liverpool L69 3GP, Merseyside, England.</t>
  </si>
  <si>
    <t>claudio.dicelma@unicam.it</t>
  </si>
  <si>
    <t>10.1016/j.sedgeo.2006.11.003</t>
  </si>
  <si>
    <t>172QY</t>
  </si>
  <si>
    <t>WOS:000246820200002</t>
  </si>
  <si>
    <t>Thomas, DJ; Via, RK</t>
  </si>
  <si>
    <t>Thomas, Deborah J.; Via, Rachael K.</t>
  </si>
  <si>
    <t>Neogene evolution of Atlantic thermohaline circulation: Perspective from Walvis Ridge, southeastern Atlantic Ocean</t>
  </si>
  <si>
    <t>DEEP-WATER CIRCULATION; EASTERN INDIAN-OCEAN; FOSSIL FISH TEETH; ISOTOPIC COMPOSITION; ANTARCTIC GLACIATION; RESIDENCE TIME; SOUTH-ATLANTIC; ND ISOTOPES; SEAWATER SR; NEODYMIUM</t>
  </si>
  <si>
    <t>We present new Nd isotope records from Walvis Ridge Ocean Drilling Program ( ODP) sites 1262-1264 ( southeastern Atlantic) spanning the past 24 Ma to investigate the Neogene evolution of Atlantic thermohaline circulation. The new data indicate that deepwater epsilon(Nd)( t) values from ODP Site 1262 decrease from -11.0 at 10.6 Ma to -12.5 by 7.3 Ma. This decrease parallels the Nd isotope trends contained in Fe-Mn crust records from the northwestern Atlantic; however, the shift at ODP Site 1262 ( 4755 m water depth) occurred up to similar to 6 Ma earlier than the corresponding changes in crust records from the Atlantic and earlier than any Atlantic site shallower than 2700 m paleowater depth. Recent interpretations of the rapid decrease in Fe-Mn crust Nd epsilon(Nd)( t) ssvalues invoke changes in weathering inputs to the Labrador Sea region rather than a fundamental change in deepwater convection in the Labrador Sea. However, the new evidence for significant depth stratification of the Nd isotope signal in the southeastern Atlantic between 10.6 and 7.3 Ma suggests that the onset of deepwater convection in the Labrador Sea may have played a role in the deepwater decrease in Nd isotopic composition. Climatic conditions during the middle to late Miocene likely favored an increase in the importance of glacially induced mechanical weathering, while at the same time promoting deep convection in the Labrador Sea.</t>
  </si>
  <si>
    <t>Texas A&amp;M Univ, Dept Oceanog, College Stn, TX 77843 USA</t>
  </si>
  <si>
    <t>Texas A&amp;M University System; Texas A&amp;M University College Station</t>
  </si>
  <si>
    <t>Thomas, DJ (corresponding author), Texas A&amp;M Univ, Dept Oceanog, College Stn, TX 77843 USA.</t>
  </si>
  <si>
    <t>dthomas@ocean.tamu.edu</t>
  </si>
  <si>
    <t>MAY 12</t>
  </si>
  <si>
    <t>PA2212</t>
  </si>
  <si>
    <t>10.1029/2006PA001297</t>
  </si>
  <si>
    <t>168CI</t>
  </si>
  <si>
    <t>WOS:000246499500001</t>
  </si>
  <si>
    <t>Aoki, S; Fukai, D; Hirawake, T; Ushio, S; Rintoul, SR; Hasumoto, H; Ishimaru, T; Sasaki, H; Kagimoto, T; Sasai, Y; Mitsudera, H</t>
  </si>
  <si>
    <t>Aoki, Shigeru; Fukai, Daisuke; Hirawake, Toru; Ushio, Shuki; Rintoul, Stephen R.; Hasumoto, Hiroshi; Ishimaru, Takashi; Sasaki, Hideharu; Kagimoto, Takashi; Sasai, Yoshikazu; Mitsudera, Humio</t>
  </si>
  <si>
    <t>A series of cyclonic eddies in the Antarctic Divergence off Adelie Coast</t>
  </si>
  <si>
    <t>INDIAN-OCEAN; WATER MASSES; SEA-ICE; CIRCULATION; 140-DEGREES-E; VARIABILITY; REGION; RISE</t>
  </si>
  <si>
    <t>The spatial and temporal characteristics of cyclonic eddies in the Antarctic Divergence off Adelie Coast are described using repeated in situ observations between 2001 and 2003, satellite observations, and results of a high-resolution ocean general circulation model. Satellite ocean color images and altimetry clearly revealed a series of cyclonic eddies, with diameters of about 100-150 km that were separated by about 150 km in the zonal direction. The eddies are found at almost the same locations and can be traced for at least two months in the spring-summer period. Cold and fresh anomalies were found throughout the water column in the cores of the cyclonic eddies. The water properties in the core of the eddies are similar to water found over the continental slope, 150-200 km to the south. The geopotential anomaly of the cold features was smaller than the sea level anomaly detected with satellite altimetry, indicating that significant barotropic flow is associated with the eddies. The Ocean general circulation model for the Earth Simulator ( OFES) reproduces a series of cyclonic eddies similar to those observed, including a significant barotropic component. In the model, the series of eddies appear to originate further west over the continental slope region with no consistent phase propagation. The combination of repeat in situ observations, remote sensing and high-resolution model results confirms the existence of persistent cyclonic eddies near 140 degrees E and suggests the eddies play an important role in the exchange of water across the Antarctic Divergence.</t>
  </si>
  <si>
    <t>Hokkaido Univ, Inst Low Temp Sci, Kita Ku, Sapporo, Hokkaido 0600819, Japan; Hokkaido Univ, Grad Sch Environm Sci, Sapporo, Hokkaido 0600819, Japan; Univ Tokyo, Oceanog Res Inst, Tokyo 1648639, Japan; Hokkaido Univ, Fac Fisheries, Hakodate, Hokkaido 0418611, Japan; Tokyo Univ Marine Sci &amp; Technol, Tokyo 1088477, Japan; Japan Agcy Marine Earth Sci &amp; Technol, Frontier Res Ctr Global Change, Yokohama, Kanagawa 2360001, Japan; CSIRO Marine &amp; Atmospher Res, Hobart, Tas 7001, Australia; Antarctic Climate &amp; Ecosyst Cooperat Res Ctr, Hobart, Tas 7001, Australia; Japan Agcy Marine Earth Sci &amp; Technol, Earth Simulator Ctr, Yokohama, Kanagawa 2360001, Japan; Natl Inst Polar Res, Tokyo 1738515, Japan</t>
  </si>
  <si>
    <t>Hokkaido University; Hokkaido University; University of Tokyo; Hokkaido University; Tokyo University of Marine Science &amp; Technology; Japan Agency for Marine-Earth Science &amp; Technology (JAMSTEC); Commonwealth Scientific &amp; Industrial Research Organisation (CSIRO); Antarctic Climate &amp; Ecosystems Cooperative Research Centre (ACE CRC); Japan Agency for Marine-Earth Science &amp; Technology (JAMSTEC); Research Organization of Information &amp; Systems (ROIS); National Institute of Polar Research (NIPR) - Japan</t>
  </si>
  <si>
    <t>Aoki, S (corresponding author), Hokkaido Univ, Inst Low Temp Sci, Kita Ku, N19W8, Sapporo, Hokkaido 0600819, Japan.</t>
  </si>
  <si>
    <t>shigeru@lowtem.hokudai.ac.jp</t>
  </si>
  <si>
    <t>英治, 佐々木/G-2247-2016; Rintoul, Stephen R/A-1471-2012; Aoki, Shigeru/D-9105-2012; Mitsudera, Humio/E-3241-2012</t>
  </si>
  <si>
    <t>英治, 佐々木/0000-0003-0657-7532; Rintoul, Stephen R/0000-0002-7055-9876; Hirawake, Toru/0000-0003-0274-6642; Mitsudera, Humio/0000-0001-9481-6921</t>
  </si>
  <si>
    <t>MAY 11</t>
  </si>
  <si>
    <t>C05019</t>
  </si>
  <si>
    <t>10.1029/2006JC003712</t>
  </si>
  <si>
    <t>168BM</t>
  </si>
  <si>
    <t>WOS:000246497200004</t>
  </si>
  <si>
    <t>Gardner, CS; Liu, AZ</t>
  </si>
  <si>
    <t>Gardner, Chester S.; Liu, Alan Z.</t>
  </si>
  <si>
    <t>Seasonal variations of the vertical fluxes of heat and horizontal momentum in the mesopause region at Starfire Optical Range, New Mexico</t>
  </si>
  <si>
    <t>EDDY DIFFUSION-COEFFICIENTS; GRAVITY-WAVE MOTIONS; MIDDLE ATMOSPHERE; ANTARCTIC MESOSPHERE; LOWER THERMOSPHERE; THERMAL STRUCTURE; DIURNAL TIDE; OH AIRGLOW; CIRCULATION; INSTABILITIES</t>
  </si>
  <si>
    <t>[1] Lidar observations of wind and temperature profiles between 85 and 100 km, conducted at the Starfire Optical Range (SOR), New Mexico, are used to characterize the seasonal variations of the vertical fluxes of heat and horizontal momentum and their relationships to gravity wave activity in this region. The wind and temperature variances exhibit strong 6-month oscillations with maxima during the summer and winter that are about 3 times larger than the spring and fall minima. The vertical heat flux also exhibits strong 6-month oscillations with maximum downward flux during winter and summer. The downward heat flux peaks near 88 km where it exceeds -3 K m s(-1) in mid-winter and is nearly zero during the spring and fall equinoxes. The heat flux is significantly different from zero only when the local instability probability exceeds 8%, i.e., the annual mean for the mesopause region. The momentum fluxes also exhibit strong seasonal variations, which are related to the horizontal winds. Two-thirds of the time the horizontal momentum flux is directed against the mean wind field.</t>
  </si>
  <si>
    <t>Univ Illinois, Dept Elect &amp; Comp Engn, Urbana, IL 61801 USA</t>
  </si>
  <si>
    <t>Gardner, CS (corresponding author), Univ Illinois, Dept Elect &amp; Comp Engn, 308 CSRL,1308 W Main St, Urbana, IL 61801 USA.</t>
  </si>
  <si>
    <t>liuzr@uiuc.edu</t>
  </si>
  <si>
    <t>Liu, Alan/C-3738-2008</t>
  </si>
  <si>
    <t>Liu, Alan/0000-0002-1834-7120</t>
  </si>
  <si>
    <t>MAY 10</t>
  </si>
  <si>
    <t>D9</t>
  </si>
  <si>
    <t>D09113</t>
  </si>
  <si>
    <t>10.1029/2005JD006179</t>
  </si>
  <si>
    <t>168AQ</t>
  </si>
  <si>
    <t>WOS:000246494800001</t>
  </si>
  <si>
    <t>Garabato, ACN; Stevens, DP; Watson, AJ; Roether, W</t>
  </si>
  <si>
    <t>Garabato, Alberto C. Naveira; Stevens, David P.; Watson, Andrew J.; Roether, Wolfgang</t>
  </si>
  <si>
    <t>Short-circuiting of the overturning circulation in the Antarctic Circumpolar Current</t>
  </si>
  <si>
    <t>SOUTHERN-OCEAN; WATER MASS; MODEL; TRANSPORT; FLUXES; WIND; STRATIFICATION; PYCNOCLINE; EDDIES; TRACER</t>
  </si>
  <si>
    <t>The oceanic overturning circulation has a central role in the Earth's climate system and in biogeochemical cycling(1,2), as it transports heat, carbon and nutrients around the globe and regulates their storage in the deep ocean. Mixing processes in the Antarctic Circumpolar Current are key to this circulation, because they control the rate at which water sinking at high latitudes returns to the surface in the Southern Ocean(3-8). Yet estimates of the rates of these processes and of the upwelling that they induce are poorly constrained by observations. Here we take advantage of a natural tracer-release experiment - an injection of mantle helium from hydrothermal vents into the Circumpolar Current near Drake Passage(9) - to measure the rates of mixing and upwelling in the current's intermediate layers over a sector that spans nearly one-tenth of its circumpolar path. Dispersion of the tracer reveals rapid upwelling along density surfaces and intense mixing across density surfaces, both occurring at rates that are an order of magnitude greater than rates implicit in models of the average Southern Ocean overturning(4-8). These findings support the view that deep-water pathways along and across density surfaces intensify and intertwine as the Antarctic Circumpolar Current flows over complex ocean-floor topography, giving rise to a short circuit of the overturning circulation in these regions.</t>
  </si>
  <si>
    <t>Natl Oceanog Ctr, Sch Ocean &amp; Earth Sci, Southampton SO14 3ZH, Hants, England; Univ E Anglia, Sch Math, Norwich NR4 7TJ, Norfolk, England; Univ E Anglia, Sch Environm Sci, Norwich NR4 7TJ, Norfolk, England; Univ Bremen, Inst Umweltphys, D-28334 Bremen, Germany</t>
  </si>
  <si>
    <t>NERC National Oceanography Centre; University of East Anglia; University of East Anglia; University of Bremen</t>
  </si>
  <si>
    <t>Garabato, ACN (corresponding author), Natl Oceanog Ctr, Sch Ocean &amp; Earth Sci, Southampton SO14 3ZH, Hants, England.</t>
  </si>
  <si>
    <t>acng@noc.soton.ac.uk</t>
  </si>
  <si>
    <t>Garabato, Alberto Naveira/AAQ-1114-2020; Stevens, David/F-2509-2010</t>
  </si>
  <si>
    <t>Garabato, Alberto Naveira/0000-0001-6071-605X; Stevens, David/0000-0002-7283-4405; Watson, Andrew/0000-0002-9654-8147</t>
  </si>
  <si>
    <t>Natural Environment Research Council [NE/C517633/1] Funding Source: researchfish</t>
  </si>
  <si>
    <t>10.1038/nature05832</t>
  </si>
  <si>
    <t>165WT</t>
  </si>
  <si>
    <t>WOS:000246338700040</t>
  </si>
  <si>
    <t>Coolen, MJL; Volkman, JK; Abbas, B; Muyzer, G; Schouten, S; Damsté, JSS</t>
  </si>
  <si>
    <t>Coolen, Marco J. L.; Volkman, John K.; Abbas, Ben; Muyzer, Gerard; Schouten, Stefan; Damste, Jaap S. Sinninghe</t>
  </si>
  <si>
    <t>Identification of organic matter sources in sulfidic late Holocene Antarctic fjord sediments from fossil rDNA sequence analysis</t>
  </si>
  <si>
    <t>16S RIBOSOMAL-RNA; ACE LAKE ANTARCTICA; EASTERN ANTARCTICA; ELLIS FJORD; PHYTOPLANKTON SUCCESSION; MICROBIAL-POPULATIONS; CONTINENTAL-MARGIN; GENETIC DIVERSITY; MARINE-SEDIMENTS; SP-NOV</t>
  </si>
  <si>
    <t>The 18S ribosomal DNA ( rDNA) isolated from sulfidic Holocene sediments and particulate organic matter in the water column of the stratified Small Meromictic Basin ( SMB) in Ellis Fjord ( eastern Antarctica) was analyzed to identify possible biological sources of organic matter. Previous work had shown that the sediments contained numerous diatom frustules and high contents of a highly branched isoprenoid ( HBI) C-25:2 alkene ( which is a specific biomarker of certain species of the diatom genera Navicula, Haslea, Pleurosigma, or Rhizosolenia), so we focused our search on preserved fossil 18S rDNA of diatoms using sensitive polymerase chain reaction ( PCR) approaches. We did not find diatom-derived fossil 18S rDNA using general eukaryotic primers, and even when we used primers selective for diatom 18S rDNA, we only identified a Chaetoceros phylotype, which is known to form cysts in the SMB but is not a likely source of the C-25:2 HBI. When we used PCR/denaturing gradient gel electrophoresis methods specific to phylotypes within the HBI-biosynthesizing genera, we were able to identify three phylotypes in the sediments related to HBI-producing strains of the genera Haslea and Navicula. The ancient DNA data thus provided a limited, but valuable, view of the diversity of late Holocene primary producers with a particular bias to specific components of the biota that were better preserved such as the Chaetoceros cysts. This use of paleogenetics also revealed unexpected possible sources of organic matter such as novel stramenopiles for which no specific lipid biomarkers are known and thus would not have been identified based on traditional lipid stratigraphy alone.</t>
  </si>
  <si>
    <t>Woods Hole Oceanog Inst, Dept Marine Chem &amp; Geochem, Woods Hole, MA 02543 USA; Netherlands Inst Sea Res, Dept Marine Biogeochem, NL-1790 AB Den Burg, Netherlands; CSIRO Marine &amp; Atmospher Res, Hobart, Tas 7001, Australia</t>
  </si>
  <si>
    <t>Woods Hole Oceanographic Institution; Utrecht University; Royal Netherlands Institute for Sea Research (NIOZ); Commonwealth Scientific &amp; Industrial Research Organisation (CSIRO)</t>
  </si>
  <si>
    <t>Coolen, MJL (corresponding author), Woods Hole Oceanog Inst, Dept Marine Chem &amp; Geochem, 360 Woods Hole Rd, Woods Hole, MA 02543 USA.</t>
  </si>
  <si>
    <t>mcoolen@whoi.edu</t>
  </si>
  <si>
    <t>Muyzer, Gerard/ABE-5834-2020; Coolen, Marco J. L./B-8263-2015; Volkman, John K/A-6592-2008; Muyzer, Gerard/A-3161-2013; Sinninghe Damste, Jaap/F-6128-2011</t>
  </si>
  <si>
    <t>Muyzer, Gerard/0000-0002-2422-0732; Coolen, Marco J. L./0000-0002-0417-920X; Muyzer, Gerard/0000-0002-2422-0732; Sinninghe Damste, Jaap/0000-0002-8683-1854</t>
  </si>
  <si>
    <t>MAY 9</t>
  </si>
  <si>
    <t>PA2211</t>
  </si>
  <si>
    <t>10.1029/2006PA001309</t>
  </si>
  <si>
    <t>168CH</t>
  </si>
  <si>
    <t>WOS:000246499400002</t>
  </si>
  <si>
    <t>de Boer, AM; Sigman, DM; Toggweiler, JR; Russell, JL</t>
  </si>
  <si>
    <t>de Boer, A. M.; Sigman, D. M.; Toggweiler, J. R.; Russell, J. L.</t>
  </si>
  <si>
    <t>Effect of global ocean temperature change on deep ocean ventilation</t>
  </si>
  <si>
    <t>ANTARCTIC SEA-ICE; THERMOHALINE CIRCULATION; ATMOSPHERIC CO2; NORTH-ATLANTIC; CARBON-CYCLE; CIRCUMPOLAR CURRENT; RADIOCARBON AGES; WATER; CLIMATE; MODEL</t>
  </si>
  <si>
    <t>A growing number of paleoceanographic observations suggest that the ocean's deep ventilation is stronger in warm climates than in cold climates. Here we use a general ocean circulation model to test the hypothesis that this relation is due to the reduced sensitivity of seawater density to temperature at low mean temperature; that is, at lower temperatures the surface cooling is not as effective at densifying fresh polar waters and initiating convection. In order to isolate this factor from other climate-related feedbacks we change the model ocean temperature only where it is used to calculate the density ( to which we refer below as dynamic'' temperature change). We find that a dynamically cold ocean is globally less ventilated than a dynamically warm ocean. With dynamic cooling, convection decreases markedly in regions that have strong haloclines ( i.e., the Southern Ocean and the North Pacific), while overturning increases in the North Atlantic, where the positive salinity buoyancy is smallest among the polar regions. We propose that this opposite behavior of the North Atlantic to the Southern Ocean and North Pacific is the result of an energy-constrained overturning.</t>
  </si>
  <si>
    <t>Princeton Univ, Cooperat Inst Climate Sci, Princeton, NJ 08544 USA; Princeton Univ, Dept Geosci, Princeton, NJ 08544 USA; NOAA, Geophys Fluid Dynam Lab, Princeton, NJ 08542 USA</t>
  </si>
  <si>
    <t>Princeton University; Princeton University; National Oceanic Atmospheric Admin (NOAA) - USA</t>
  </si>
  <si>
    <t>de Boer, AM (corresponding author), Univ E Anglia, Sch Environm Sci, Norwich NR4 7TJ, Norfolk, England.</t>
  </si>
  <si>
    <t>a.deboer@uea.ac.uk</t>
  </si>
  <si>
    <t>Sigman, Daniel M./A-2649-2008; Toggweiler, J. R./O-5883-2019; Sigman, Daniel M./IYJ-2613-2023; De Boer, Agatha M/H-4202-2012</t>
  </si>
  <si>
    <t>Sigman, Daniel M./0000-0002-7923-1973; Toggweiler, J. R./0000-0001-6345-5756; Russell, Joellen/0000-0001-9937-6056</t>
  </si>
  <si>
    <t>Natural Environment Research Council [NE/D001803/1] Funding Source: researchfish; NERC [NE/D001803/1] Funding Source: UKRI</t>
  </si>
  <si>
    <t>PA2210</t>
  </si>
  <si>
    <t>10.1029/2005PA001242</t>
  </si>
  <si>
    <t>WOS:000246499400001</t>
  </si>
  <si>
    <t>Gao, CH; Oman, L; Robock, A; Stenchikov, GL</t>
  </si>
  <si>
    <t>Gao, Chaochao; Oman, Luke; Robock, Alan; Stenchikov, Georgiy L.</t>
  </si>
  <si>
    <t>Atmospheric volcanic loading derived from bipolar ice cores: Accounting for the spatial distribution of volcanic deposition</t>
  </si>
  <si>
    <t>1783-1784 LAKI ERUPTION; EXPLOSIVE VOLCANISM; EAST ANTARCTICA; CLIMATE-CHANGE; STRATOSPHERIC AEROSOLS; GISS MODELE; PART I; SULFUR; RECORD; VARIABILITY</t>
  </si>
  <si>
    <t>[1] Previous studies have used small numbers of ice core records of past volcanism to represent hemispheric or global radiative forcing from volcanic stratospheric aerosols. With the largest-ever assembly of volcanic ice core records and state-of-the-art climate model simulations of volcanic deposition, we now have a unique opportunity to investigate the effects of spatial variations on sulfate deposition and on estimates of atmospheric loading. We have combined 44 ice core records, 25 from the Arctic and 19 from Antarctica, and Goddard Institute for Space Studies ModelE simulations to study the spatial distribution of volcanic sulfate aerosols in the polar ice sheets. We extracted volcanic deposition signals by applying a high-pass loess filter to the time series and examining peaks that exceed twice the 31-year running median absolute deviation. Our results suggest that the distribution of volcanic sulfate aerosol follows the general precipitation pattern in both regions, indicating the important role precipitation has played in affecting the deposition pattern of volcanic aerosols. We found a similar distribution pattern for sulfate aerosols from the 1783 - 1784 Laki and 1815 Tambora eruptions, as well as for the total beta activity after the 1952 - 1954 low-latitude Northern Hemisphere and 1961 - 1962 high-latitude Northern Hemisphere atmospheric nuclear weapon tests. This confirms the previous assumption that the transport and deposition of nuclear bomb test debris resemble those of volcanic aerosols. We compare three techniques for estimating stratospheric aerosol loading from ice core data: radioactive deposition from nuclear bomb tests, Pinatubo sulfate deposition in eight Antarctic ice cores, and climate model simulations of volcanic sulfate transport and deposition following the 1783 Laki, 1815 Tambora, 1912 Katmai, and 1991 Pinatubo eruptions. By applying the above calibration factors to the 44 ice core records, we have estimated the stratospheric sulfate aerosol loadings for the largest volcanic eruptions during the last millennium. These loadings agree fairly well with estimates based on radiation, petrology, and model simulations. We also estimate the relative magnitude of sulfate deposition compared with the mean for Greenland and Antarctica for each ice core record, which provides a guideline to evaluate the stratospheric volcanic sulfate aerosol loading calculated from a single or a few ice core records.</t>
  </si>
  <si>
    <t>Rutgers State Univ, Dept Environm Sci, New Brunswick, NJ 08901 USA</t>
  </si>
  <si>
    <t>Rutgers University System; Rutgers University New Brunswick</t>
  </si>
  <si>
    <t>Gao, CH (corresponding author), Rutgers State Univ, Dept Environm Sci, 14 Coll Farm Rd, New Brunswick, NJ 08901 USA.</t>
  </si>
  <si>
    <t>robock@envsci.rutgers.edu</t>
  </si>
  <si>
    <t>Georgiy, Stenchikov/J-8569-2013; Gao, Chaochao/G-9154-2011; Stenchikov, Georgiy/AAA-4371-2022; Robock, Alan/B-6385-2016; Oman, Luke/C-2778-2009</t>
  </si>
  <si>
    <t>Oman, Luke/0000-0002-5487-2598; Stenchikov, Georgiy Lvovich/0000-0001-9033-4925; Robock, Alan/0000-0002-6319-5656</t>
  </si>
  <si>
    <t>MAY 8</t>
  </si>
  <si>
    <t>D09109</t>
  </si>
  <si>
    <t>10.1029/2006JD007461</t>
  </si>
  <si>
    <t>168AO</t>
  </si>
  <si>
    <t>WOS:000246494600003</t>
  </si>
  <si>
    <t>Jin, SG; Park, JU; Cho, JH; Park, PH</t>
  </si>
  <si>
    <t>Jin, Shuanggen; Park, Jong-Uk; Cho, Jung-Ho; Park, Pil-Ho</t>
  </si>
  <si>
    <t>Seasonal variability of GPS-derived zenith tropospheric delay (1994-2006) and climate implications</t>
  </si>
  <si>
    <t>ATMOSPHERIC WATER-VAPOR; GLOBAL POSITIONING SYSTEM; PRECIPITABLE WATER; METEOROLOGY; NETWORK; ACCURACY; ERRORS; IGS</t>
  </si>
  <si>
    <t>[1] The total zenith tropospheric delay (ZTD) is an important parameter of the atmosphere and directly or indirectly reflects the weather and climate processes and variations. In this paper the ZTD time series with a 2-hour resolution are derived from globally distributed 150 International GPS Service (IGS) stations ( 1994 - 2006), which are used to investigate the secular trend and seasonal variation of ZTD as well as its implications in climate. The mean secular ZTD variation trend is about 1.5 +/- 0.001 mm/yr at all IGS stations. The secular variations are systematically increasing in most parts of the Northern Hemisphere and decreasing in most parts of the Southern Hemisphere. Furthermore, the ZTD trends are almost symmetrically decreasing with increasing altitude, while the summation of upward and downward trends at globally distributed GPS sites is almost zero, possibly reflecting that the secular ZTD variation is in balance at a global scale. Significant annual variations of ZTD are found over all GPS stations with the amplitude from 25 to 75 mm. The annual variation amplitudes of ZTD near oceanic coasts are generally larger than in the continental inland. Larger amplitudes of annual ZTD variation are mostly found at middle latitudes (near 20 degrees S and 40 degrees N) and smaller amplitudes of annual ZTD variation are located at higher latitudes ( e. g., Antarctic) and the equator areas. The phase of annual ZTD variation is about 60 degrees in the Southern Hemisphere ( about February, summer) and about 240 degrees in the Northern Hemisphere ( about August, summer). The mean amplitude of semiannual ZTD variations is about 10 mm, much smaller than annual variations. The semiannual amplitudes are larger in the Northern Hemisphere than in the Southern Hemisphere, indicating that the semiannual variation amplitudes of ZTD in the Southern Hemisphere are not significant. In addition, the higher-frequency variability (RMS of ZTD residuals) ranges from 15 to 65 mm of delay, depending on altitude of the station. Inland stations tend to have lower variability and sites at ocean and coasts have higher variability. These seasonal ZTD cycles are due mainly to the wet component variations (ZWD).</t>
  </si>
  <si>
    <t>Korea Astron &amp; Space Sci Inst, Space Geodesy Div, Taejon 305348, South Korea; Chinese Acad Sci, Shanghai Astron Observ, Shanghai 200030, Peoples R China</t>
  </si>
  <si>
    <t>Korea Astronomy &amp; Space Science Institute (KASI); Chinese Academy of Sciences; Shanghai Astronomical Observatory, CAS</t>
  </si>
  <si>
    <t>Jin, SG (corresponding author), Korea Astron &amp; Space Sci Inst, Space Geodesy Div, 61-1 Whaam Dong, Taejon 305348, South Korea.</t>
  </si>
  <si>
    <t>sgjin@kasi.re.kr</t>
  </si>
  <si>
    <t>Jin, Shuanggen/B-8094-2008</t>
  </si>
  <si>
    <t>Jin, Shuanggen/0000-0002-5108-4828</t>
  </si>
  <si>
    <t>D09110</t>
  </si>
  <si>
    <t>10.1029/2006JD007772</t>
  </si>
  <si>
    <t>WOS:000246494600005</t>
  </si>
  <si>
    <t>Vossepoel, FC</t>
  </si>
  <si>
    <t>Vossepoel, Femke C.</t>
  </si>
  <si>
    <t>Uncertainties in the mean ocean dynamic topography before the launch of the Gravity Field and Steady-State Ocean Circulation Explorer (GOCE)</t>
  </si>
  <si>
    <t>NORTH-ATLANTIC OCEAN; SATELLITE ALTIMETRY; DATA ASSIMILATION; SOUTHERN-OCEAN; PACIFIC-OCEAN; FREE-SURFACE; WORLD OCEAN; SEA-LEVEL; MODEL; IMPACT</t>
  </si>
  <si>
    <t>In anticipation of the future observations of the gravity mission Gravity Field and Steady-State Ocean Circulation Explorer (GOCE), the present-day accuracy of mean dynamic topography (MDT) is estimated from both observations and models. A comparison of five observational estimates illustrates that RMS differences in MDT vary from 4.2 to 10.5 cm after low-pass filtering the fields with a Hamming window with wavenumber N = 120 (corresponding to an effective resolution of 167 km). RMS differences in observational MDT reduce to 2.4-8.3 cm for N = 15 (1334 km). Differences in data sources (geoid model, in situ data) are mostly visible in the small-scale oceanic features, while differences in processing (filtering, inverse modeling techniques) are reflected at larger scales. A comparison of seven different numerical ocean models demonstrates that model estimates differ mostly in western boundary currents and in the Antarctic Circumpolar Current. RMS differences between modeled and observed MDT are at best 8.8 cm for N = 120, and reduce to 6.4 cm for N = 15. For models with data assimilation, a minimal RMS difference of 6.6 cm (N = 120) to 3.4 cm (N = 15) is obtained with respect to the observational MDTs. The reduction of differences between MDTs with increasing filtering scales is smaller than expected. While it is expected that GOCE will improve MDT estimates at small spatial scales, improvement of mean sea surface estimates from satellite altimetry may be needed to improve MDT estimates at larger scales.</t>
  </si>
  <si>
    <t>IMAU, Utrecht, Netherlands; SRON Netherlands Inst Space Res, Utrecht, Netherlands</t>
  </si>
  <si>
    <t>Utrecht University</t>
  </si>
  <si>
    <t>Vossepoel, FC (corresponding author), Shell Int Explorat &amp; Prod BV, Kesslerpk 1, NL-2288 BV Rijswijk, Netherlands.</t>
  </si>
  <si>
    <t>Femke.Vossepoel@shell.com</t>
  </si>
  <si>
    <t>Vossepoel, Femke/AAR-4850-2021</t>
  </si>
  <si>
    <t>Vossepoel, Femke/0000-0002-3391-6651</t>
  </si>
  <si>
    <t>MAY 4</t>
  </si>
  <si>
    <t>C05010</t>
  </si>
  <si>
    <t>10.1029/2006JC003891</t>
  </si>
  <si>
    <t>165LR</t>
  </si>
  <si>
    <t>WOS:000246307500003</t>
  </si>
  <si>
    <t>Rahmstorf, S; Cazenave, A; Church, JA; Hansen, JE; Keeling, RF; Parker, DE; Somerville, RCJ</t>
  </si>
  <si>
    <t>Rahmstorf, Stefan; Cazenave, Anny; Church, John A.; Hansen, James E.; Keeling, Ralph F.; Parker, David E.; Somerville, Richard C. J.</t>
  </si>
  <si>
    <t>Recent climate observations compared to projections</t>
  </si>
  <si>
    <t>ocean; sea level</t>
  </si>
  <si>
    <t>Potsdam Inst Climate Impact Res, D-14482 Potsdam, Germany; Lab Etud Geophys &amp; Oceanog, F-31400 Toulouse, France; CSIRO, Marine &amp; Atmospher Res &amp; Antarctic Climate &amp; Ecos, Hobart, Tas 7001, Australia; NASA, Goddard Inst Space Studies, New York, NY 10025 USA; Univ Calif San Diego, Scripps Inst Oceanog, La Jolla, CA 92093 USA; Hadley Ctr, Met Off, Exeter EX1 3PB, Devon, England</t>
  </si>
  <si>
    <t>Potsdam Institut fur Klimafolgenforschung; Universite de Toulouse; Universite Toulouse III - Paul Sabatier; Centre National de la Recherche Scientifique (CNRS); Institut de Recherche pour le Developpement (IRD); Laboratoire d'Etudes en Geophysique et oceanographie spatiales; Commonwealth Scientific &amp; Industrial Research Organisation (CSIRO); National Aeronautics &amp; Space Administration (NASA); NASA Goddard Space Flight Center; Goddard Institute for Space Studies; University of California System; University of California San Diego; Scripps Institution of Oceanography; Met Office - UK; Hadley Centre</t>
  </si>
  <si>
    <t>Rahmstorf, S (corresponding author), Potsdam Inst Climate Impact Res, D-14482 Potsdam, Germany.</t>
  </si>
  <si>
    <t>Rahmstorf, Stefan/A-8465-2010; Thompson, Renee L/A-9675-2012; Church, John A/A-1541-2012</t>
  </si>
  <si>
    <t>Rahmstorf, Stefan/0000-0001-6786-7723; Church, John A/0000-0002-7037-8194</t>
  </si>
  <si>
    <t>10.1126/science.1136843</t>
  </si>
  <si>
    <t>163RR</t>
  </si>
  <si>
    <t>WOS:000246181400035</t>
  </si>
  <si>
    <t>Jayaraman, KS</t>
  </si>
  <si>
    <t>Jayaraman, K. S.</t>
  </si>
  <si>
    <t>India plans third Antarctic base</t>
  </si>
  <si>
    <t>MAY 3</t>
  </si>
  <si>
    <t>10.1038/447009a</t>
  </si>
  <si>
    <t>163GY</t>
  </si>
  <si>
    <t>WOS:000246149300008</t>
  </si>
  <si>
    <t>Browning, BW</t>
  </si>
  <si>
    <t>Browning, Blair W.</t>
  </si>
  <si>
    <t>Leadership in Desperate Times: An Analysis of Endurance: Shackleton's Incredible Voyage through the Lens of Leadership Theory</t>
  </si>
  <si>
    <t>ADVANCES IN DEVELOPING HUMAN RESOURCES</t>
  </si>
  <si>
    <t>Shackleton; Endurance; leadership; skills approach; style approach; contingency theory</t>
  </si>
  <si>
    <t>The problem and the solution. Ernest Shackleton led a crew on the Endurance that would attempt to be the first group of individuals to cross the Antarctic continent overland. Only one day's sail away from the land, the Endurance became iced in and eventually sank, leaving the men with limited supplies. Shackleton's new goal quickly became getting every man home alive. Alfred Lansing's account of this amazing story, Endurance: Shackleton's Incredible Voyage, shows actual photographs and utilizes vivid accounts from different crew members' journals. Shackleton's leadership is viewed as nothing short of spectacular during this journey, and this article highlights three leadership approaches/theories he displayed in this remarkable story: the skills and the style approaches and the contingency theory. Finally, this article offers various exercises and teaching tools that may aid instructors as they use this story in the classroom.</t>
  </si>
  <si>
    <t>[Browning, Blair W.] Baylor Univ, Dept Commun Studies, Waco, TX 76798 USA</t>
  </si>
  <si>
    <t>Baylor University</t>
  </si>
  <si>
    <t>Browning, BW (corresponding author), Baylor Univ, Dept Commun Studies, Waco, TX 76798 USA.</t>
  </si>
  <si>
    <t>SAGE PUBLICATIONS INC</t>
  </si>
  <si>
    <t>THOUSAND OAKS</t>
  </si>
  <si>
    <t>2455 TELLER RD, THOUSAND OAKS, CA 91320 USA</t>
  </si>
  <si>
    <t>1523-4223</t>
  </si>
  <si>
    <t>1552-3055</t>
  </si>
  <si>
    <t>ADV DEV HUM RESOUR</t>
  </si>
  <si>
    <t>Adv. Dev. Hum. Resour.</t>
  </si>
  <si>
    <t>MAY</t>
  </si>
  <si>
    <t>10.1177/1523422306298858</t>
  </si>
  <si>
    <t>Industrial Relations &amp; Labor</t>
  </si>
  <si>
    <t>Business &amp; Economics</t>
  </si>
  <si>
    <t>V92MY</t>
  </si>
  <si>
    <t>WOS:000212999100004</t>
  </si>
  <si>
    <t>Nyack, AC; Locke, BR; Valencia, A; Dillaman, RM; Kinsey, ST</t>
  </si>
  <si>
    <t>Nyack, Albert C.; Locke, Bruce R.; Valencia, Alejandro; Dillaman, Richard M.; Kinsey, Stephen T.</t>
  </si>
  <si>
    <t>Scaling of postcontractile phosphocreatine recovery in fish white muscle: effect of intracellular diffusion</t>
  </si>
  <si>
    <t>hypertrophy; creatine kinase; mitochondria</t>
  </si>
  <si>
    <t>SKELETAL-MUSCLE; FIBER TYPES; METABOLITE DIFFUSION; CALLINECTES-SAPIDUS; NOTOTHENIOID FISHES; ANTARCTIC TELEOST; ENZYME-ACTIVITIES; MYOGENIC CELLS; AXIAL MUSCLE; BLUE-CRAB</t>
  </si>
  <si>
    <t>In some fish, hypertrophic growth of white muscle leads to very large fibers. The associated low-fiber surface area-to-volume ratio (SA/V) and potentially long intracellular diffusion distances may influence the rate of aerobic processes. We examined the effect of intracellular metabolite sion on mass-specific scaling of aerobic capacity and an aerobic process, phosphocreatine (PCr) recovery, in isolated white muscle from black sea bass (Centropristis striata). Muscle fiber diameter increased during growth and was &gt; 250 mu m in adult fish. Mitochondrial volume density and cytochrome-c oxidase activity had similar small scaling exponents with increasing body mass (-0.06 and -0.10, respectively). However, the mitochondria were more clustered at the sarcolemmal membrane in large fibers, which may offset the low SA/V, but leads to greater intracellular diffusion distances between mitochondrial clusters and ATPases. Despite large differences in intracellular diffusion distances, the postcontractile rate of PCr recovery was largely size independent, with a small scaling exponent for the maximal rate (-0.07) similar to that found for the indicators of aerobic capacity. Consistent with this finding, a mathematical reaction-diffusion analysis indicated that the resynthesis of PCr (and other metabolites) was too slow to be substantially limited by diffusion. These results suggest that the recovery rate in these fibers is primarily limited by low mitochondrial density. Additionally, the change in mitochondrial distribution with increasing fiber size suggests that low SAN and limited 02 flux are more influential design constraints in fish white muscle, and perhaps other fast-twitch vertebrate muscles, than is intraceflular metabolite diffusive flux.</t>
  </si>
  <si>
    <t>Univ N Carolina, Dept Biol &amp; Marine Biol, Wilmington, NC 28403 USA; Florida A&amp;M Univ, Dept Chem &amp; Biomed Engn, Coll Engn, Tallahassee, FL 32307 USA</t>
  </si>
  <si>
    <t>University of North Carolina; University of North Carolina Wilmington; State University System of Florida; Florida A&amp;M University</t>
  </si>
  <si>
    <t>Kinsey, ST (corresponding author), Univ N Carolina, Dept Biol &amp; Marine Biol, Wilmington, NC 28403 USA.</t>
  </si>
  <si>
    <t>kinseys@uncw.edu</t>
  </si>
  <si>
    <t>Locke, Bruce/E-9288-2010</t>
  </si>
  <si>
    <t>Locke, Bruce/0000-0003-2837-068X; Kinsey, Stephen/0000-0002-2479-9617</t>
  </si>
  <si>
    <t>NIAMS NIH HHS [R15 AR052708-01A1] Funding Source: Medline</t>
  </si>
  <si>
    <t>NIAMS NIH HHS(United States Department of Health &amp; Human ServicesNational Institutes of Health (NIH) - USANIH National Institute of Arthritis &amp; Musculoskeletal &amp; Skin Diseases (NIAMS))</t>
  </si>
  <si>
    <t>R2077</t>
  </si>
  <si>
    <t>R2088</t>
  </si>
  <si>
    <t>10.1152/ajpregu.00467.2006</t>
  </si>
  <si>
    <t>185QJ</t>
  </si>
  <si>
    <t>WOS:000247725200038</t>
  </si>
  <si>
    <t>Sodan, D</t>
  </si>
  <si>
    <t>Sodan, Damir</t>
  </si>
  <si>
    <t>'Antarctic'</t>
  </si>
  <si>
    <t>AMERICAN POETRY REVIEW</t>
  </si>
  <si>
    <t>Poetry</t>
  </si>
  <si>
    <t>OLD CITY PUBLISHING INC</t>
  </si>
  <si>
    <t>PHILADELPHIA</t>
  </si>
  <si>
    <t>628 NORTH 2ND ST, PHILADELPHIA, PA 19123 USA</t>
  </si>
  <si>
    <t>0360-3709</t>
  </si>
  <si>
    <t>2162-4984</t>
  </si>
  <si>
    <t>AM POETRY REV</t>
  </si>
  <si>
    <t>Am. Poet. Rev.</t>
  </si>
  <si>
    <t>MAY-JUN</t>
  </si>
  <si>
    <t>Arts &amp; Humanities Citation Index (A&amp;HCI)</t>
  </si>
  <si>
    <t>Literature</t>
  </si>
  <si>
    <t>160JH</t>
  </si>
  <si>
    <t>WOS:000245936200026</t>
  </si>
  <si>
    <t>Gasparon, M; Ehrler, K; Matschullat, J; Melles, M</t>
  </si>
  <si>
    <t>Gasparon, Massimo; Ehrler, Katharina; Matschullat, Jorg; Melles, Martin</t>
  </si>
  <si>
    <t>Temporal and spatial variability of geochemical backgrounds in the Windmill Islands, East Antarctica: Implications for climatic changes and human impacts</t>
  </si>
  <si>
    <t>APPLIED GEOCHEMISTRY</t>
  </si>
  <si>
    <t>MARINE-SEDIMENTS; LARSEMANN-HILLS; TRACE-ELEMENTS; DIATOM FLORA; CONTAMINATION; STATION; LAKES</t>
  </si>
  <si>
    <t>To establish a natural background and its temporal and spatial variability for the area around Casey Station in the Windmill Islands, East Antarctica, the authors studied major and trace element concentrations and the distribution of organic matter in marine and lacustrine sediments. A wide range of natural variability in trace metal concentrations was identified between sites and within a time scale of 9 ka (e.g., Ni 5-37 mg kg(-1), Cu 20-190 mg kg(-1), Zn 50-300 mg kg(-1), Pb 4.5-34 mg kg(-1)). TOC concentrations are as high as 3 wt.% at the marine sites and 20 wt.% at the lacustrine sites, and indicate highly productive ecosystems. These data provide a background upon which the extent of human impact can be established, and existing data indicate negligible levels of disturbance. Geochemical and lithological data for a lacustrine sediment core from Beall Lake confirm earlier interpretation of recent climatic changes based on diatom distribution, and the onset of deglaciation in the northern part of the Windmill Islands between 8.6 and 8.0 ka BP. The results demonstrate that geochemical and lithological data can not only be used to define natural background values, but also to assess long-term climatic changes of a specific environment. Other sites, however, preserve a completely different sedimentary record. Therefore, inferred climatic record, and differences between sites, can be ascribed to differences in elevation, distance from the shore, water depth, and local catchment features. The extreme level of spatial variability seems to be a feature of Antarctic coastal areas, and demonstrates that results obtained from a specific site cannot be easily generalized to a larger area. (c) 2007 Elsevier Ltd. All rights reserved.</t>
  </si>
  <si>
    <t>Univ Queensland, Dept Earth Sci, St Lucia, Qld 4072, Australia; TU Bergakad Freiberg, Interdisciplinary Environm Res Ctr, D-09599 Freiberg, Germany; Univ Leipzig, Inst Geophys &amp; Geol, D-04103 Leipzig, Germany</t>
  </si>
  <si>
    <t>University of Queensland; Technical University Freiberg; Leipzig University</t>
  </si>
  <si>
    <t>Gasparon, M (corresponding author), Univ Queensland, Dept Earth Sci, St Lucia, Qld 4072, Australia.</t>
  </si>
  <si>
    <t>massimo@earth.uq.edu.au</t>
  </si>
  <si>
    <t>0883-2927</t>
  </si>
  <si>
    <t>APPL GEOCHEM</t>
  </si>
  <si>
    <t>Appl. Geochem.</t>
  </si>
  <si>
    <t>10.1016/j.apgeochem.2006.12.018</t>
  </si>
  <si>
    <t>181UC</t>
  </si>
  <si>
    <t>WOS:000247460600002</t>
  </si>
  <si>
    <t>Arnesen, G; Beck, PSA; Engelskjon, T</t>
  </si>
  <si>
    <t>Arnesen, Geir; Beck, Pieter S. A.; Engelskjon, Torstein</t>
  </si>
  <si>
    <t>Soil acidity, content of carbonates, and available phosphorus are the soil factors best correlated with alpine vegetation: Evidence from troms, North Norway</t>
  </si>
  <si>
    <t>ARCTIC TUNDRA; LANDSCAPE; DIVERSITY; PATTERNS; NITROGEN; CLIMATE</t>
  </si>
  <si>
    <t>We investigate which bedrock-derived soil nutrients are most important for the floristic composition and diversity of alpine, exposed, rocky habitats in North Norway, and whether the widely used pH parameter is a good estimate of soil chemical conditions in the middle alpine belt. Vegetation at 17 sites was recorded using the grid frequency method. Differences in the diversity of vascular plants, bryophytes, and lichens on the different substrates were compared using Shannon's diversity index. Local soil consisted of weathered material from one of five bedrock categories: carbonate rocks, calcareous mica schist, noncalcareous mica schist, mafic rocks, and felsic rocks. Particle size, loss on ignition, pH, and levels of calcium, magnesium, potassium, phosphorus, and nitrogen were measured in soil samples. Canonical Correspondence Analysis showed that soil pH and bedrock derived phosphorus in the soil influence the floristic composition. Randomization tests further indicated that the floristic variation explained by bedrock derived phosphorus was not correlated with soil pH. Thus, the pH measure should be used with caution for the characterization of soil conditions. Vegetation growing directly in soil derived from carbonate rocks is distinct from communities on other calcareous Soils. Species at such sites should be referred to as carbonate specialists rather than lime demanding.</t>
  </si>
  <si>
    <t>Univ Tromso, Dept Bot, Tromso Univ Museum, NO-9037 Tromso, Norway</t>
  </si>
  <si>
    <t>UiT The Arctic University of Tromso</t>
  </si>
  <si>
    <t>Arnesen, G (corresponding author), Univ Tromso, Dept Biol, Fac Sci, NO-9037 Tromso, Norway.</t>
  </si>
  <si>
    <t>geir.arnescn@ib.uit.no</t>
  </si>
  <si>
    <t>Beck, Pieter S. A./A-2662-2008</t>
  </si>
  <si>
    <t>Beck, Pieter S A/0000-0002-0692-4779</t>
  </si>
  <si>
    <t>10.1657/1523-0430(2007)39[189:SACOCA]2.0.CO;2</t>
  </si>
  <si>
    <t>170FW</t>
  </si>
  <si>
    <t>WOS:000246649100001</t>
  </si>
  <si>
    <t>Baker, BB; Moseley, RK</t>
  </si>
  <si>
    <t>Baker, B. B.; Moseley, R. K.</t>
  </si>
  <si>
    <t>Advancing treeline and retreating glaciers: Implications for conservation in Yunnan, PR china</t>
  </si>
  <si>
    <t>NATIONAL-PARK; ENVIRONMENTAL-CHANGE; CLIMATE-CHANGE; TIMBERLINE; REGRESSION; ALPS</t>
  </si>
  <si>
    <t>Historic climate data and repeat photographs were used to assess and document changes in alpine treeline and glacial recession in northwestern Yunnan, China. Results show that mean annual temperature in the last two decades of the 20th century has been increasing locally at a rate of 0.06 degrees C yr(-1) (P &lt; 0.001). Furthermore, the annual trend is a result of both summer- and wintertime warming (0.037 degrees C yr(-1), p &lt; 0.001; and 0.036 degrees C yr(-1), p &lt; 0.001, respectively). Additionally, a local drying trend (-3.80 mm yr(-1); P &lt; 0.001) was observed during the period 1955-1995. Repeat photos and supplemental measurements show that this warming is causing the retreat of glaciers and contributing to the elevational advance of alpine treeline. Fire, a traditional management tool used to halt the advance of woody species, has been suppressed since 1988. One consequence of these interactions is the encroachment of woody vegetation into alpine meadows, which will have negative impacts on plant species diversity and Tibetan livelihood. Two spatially and temporally distant anthropogenic actions, a rapidly warming climate and local land use policy, appear to be threatening both biodiversity and Tibetan livelihoods. Land managers need to recognize that global warming is occurring and adapt their conservation practices and policies to anticipate and be resilient to threats at all critical scales.</t>
  </si>
  <si>
    <t>Nature Conservancy, Global Climate Change Initiat, Boulder, CO 80302 USA; Colorado State Univ, Dept Anim Sci, Ft Collins, CO 80523 USA; Nature Conservancy, Peoria, IL 61602 USA</t>
  </si>
  <si>
    <t>Nature Conservancy; Colorado State University; Nature Conservancy</t>
  </si>
  <si>
    <t>Baker, BB (corresponding author), Nature Conservancy, Global Climate Change Initiat, 2424 Spruce St, Boulder, CO 80302 USA.</t>
  </si>
  <si>
    <t>bbaker@TNC.org</t>
  </si>
  <si>
    <t>Baker, Barry/C-4884-2009; Baker, Barry/A-3259-2008</t>
  </si>
  <si>
    <t>10.1657/1523-0430(2007)39[200:ATARGI]2.0.CO;2</t>
  </si>
  <si>
    <t>WOS:000246649100002</t>
  </si>
  <si>
    <t>Camarero, JJ; Gutiérrez, E</t>
  </si>
  <si>
    <t>Camarero, J. Julio; Gutierrez, Emilia</t>
  </si>
  <si>
    <t>Response of Pinus uncinata recruitment to climate warming and changes in grazing pressure in an isolated population of the Iberian system (NE Spain)</t>
  </si>
  <si>
    <t>SPANISH CENTRAL PYRENEES; TREELINE DYNAMICS; CENTRAL SWEDEN; AGE STRUCTURE; SYLVESTRIS; STANDS; ECOTONES; TRENDS; BALFOURIANA; VEGETATION</t>
  </si>
  <si>
    <t>To infer future changes in the distribution of tree species in response to climatic variability, we need an understanding of the recruitment dynamics and their climatic controls at the species' distribution limit. We studied the recruitment processes in an isolated population of Pinus uncinata Ram. located at the southwestern limit of the species' distribution in Europe (Iberian System, NE Spain). We assessed (1) the temporal patterns of pine recruitment, and (2) how climate influenced recruitment. To reconstruct the recent recruitment episodes and to assess the climatic influence on recruitment and radial growth we employed dendrochronological methods. We mapped, measured the size, and estimated the age of all P. uncinata individuals located within a 50 m X 40 in plot. Additional age data were obtained from individuals located in four nearby 20 in X 20 m plots. The main episodes of tree establishment (early 1960s, late 1980s) coincided with low radial growth during a period with reduced grazing pressure. Grazing pressure and tree recruitment were not related at the spatiotemporal scale of this study. High May, August, and September minimum temperatures and high April precipitation were positively associated with recruitment, whereas high maximum April and June temperatures were negatively associated with recruitment. The studied population was in equilibrium with climate until the late 1990s, one of the warmest decades in the 20th century, when recruitment decreased despite the availability of suitable sites for establishment and the presence of reproductive individuals. We suggest that late-summer temperatures might have a non-linear negative threshold effect on recruitment rather than a linear effect. Despite increasing evidence of climate-induced recruitment episodes in isolated cold mountain forests, threshold effects of temperature on recruitment may imply limited range shifts of these populations in response to climate warming.</t>
  </si>
  <si>
    <t>CITA, Unidad Recursos Forestales, Zaragoza 50080, Spain; Univ Barcelona, Fac Biol, Dept Ecol, E-08028 Barcelona, Spain</t>
  </si>
  <si>
    <t>University of Barcelona</t>
  </si>
  <si>
    <t>Camarero, JJ (corresponding author), CSIC, Inst Pirena Ecol, Avda Montanana 1005, Zaragoza 50192, Spain.</t>
  </si>
  <si>
    <t>jjcamarero@ipe.csic.es; emgutierrez@ub.edu</t>
  </si>
  <si>
    <t>Gutierrez, Emilia/O-7568-2014; Camarero, J. Julio/A-8602-2013</t>
  </si>
  <si>
    <t>Gutierrez, Emilia/0000-0002-6085-5700; Camarero, J. Julio/0000-0003-2436-2922</t>
  </si>
  <si>
    <t>WOS:000246649100003</t>
  </si>
  <si>
    <t>Casteller, A; Stoeckli, V; Villalba, R; Mayer, AC</t>
  </si>
  <si>
    <t>Casteller, Alejandro; Stoeckli, Veronika; Villalba, Ricardo; Mayer, Andrea C.</t>
  </si>
  <si>
    <t>An evaluation of dendroecological indicators of snow avalanches in the Swiss Alps</t>
  </si>
  <si>
    <t>GLACIER-NATIONAL-PARK; MASS MOVEMENT; DISTURBANCE; MONTANA</t>
  </si>
  <si>
    <t>Avalanche records are important for land-use planning and risk management in mountainous areas. Written records on dates, disturbed area, and pressure patterns of past snow avalanches are scarce. Tree rings can be used to complement written records on past avalanche activity. We conducted two case studies at documented avalanche tracks in the Swiss Alps to determine the most valuable dendroecological indicators for reconstructing past avalanche events. Both tracks were impacted by avalanche events in 1951 and 1999, the two most exceptional avalanche years in recent Swiss history. The difference in tree age among the track, border, run-out, and control sectors was a valuable indicator of the area impacted by past avalanches, but not a useful tool to establish dates of avalanche occurrences. Comparisons of reaction wood formation, changes in stem eccentricity, and presence of traumatic resin canals among sectors showed significantly larger values of these indicators after the 1999 event in the track areas, and in minor degree in the border areas. Abrupt growth changes following the 1999 event were identified in most disturbed trees. Growth releases were commonly accompanied by the formation of reaction wood. Tree-ring evidences for the 1951 avalanche event were limited mainly due to the removal of debris by local communities. The intensity of avalanche events was difficult to determine using tree-ring indicators. Although dates and areas impacted by documented avalanche events were sometimes assessed using single indicators, more precise reconstructions result from the combined use of several dendroecological indicators.</t>
  </si>
  <si>
    <t>Swiss Fed Inst Snow &amp; Avalanche Res SLF, WSL, CH-7260 Davos, Switzerland; IANIGLA, RA-5500 Mendoza, Argentina</t>
  </si>
  <si>
    <t>Swiss Federal Institutes of Technology Domain; Swiss Federal Institute for Forest, Snow &amp; Landscape Research; University Nacional Cuyo Mendoza</t>
  </si>
  <si>
    <t>Casteller, A (corresponding author), Swiss Fed Inst Snow &amp; Avalanche Res SLF, WSL, Fluelastr 11, CH-7260 Davos, Switzerland.</t>
  </si>
  <si>
    <t>casteller@lab.cricyt.edu.ar</t>
  </si>
  <si>
    <t>Villalba, Ricardo/0000-0001-8183-0310</t>
  </si>
  <si>
    <t>10.1657/1523-0430(2007)39[218:AEODIO]2.0.CO;2</t>
  </si>
  <si>
    <t>WOS:000246649100004</t>
  </si>
  <si>
    <t>Cavieres, LA; Badano, EI; Sierra-Almeida, A; Molina-Montenegro, MA</t>
  </si>
  <si>
    <t>Cavieres, Lohengrin A.; Badano, Ernesto I.; Sierra-Almeida, Angela; Molina-Montenegro, Marco A.</t>
  </si>
  <si>
    <t>Microclimatic modifications of cushion plants and their consequences for seedling survival of native and non-native herbaceous species in the high andes of central Chile</t>
  </si>
  <si>
    <t>HIGH TEMPERATE ANDES; POSITIVE INTERACTIONS; ALPINE PLANTS; POLLINATION ECOLOGY; AZORELLA-MONANTHA; GLACIER FORELAND; PATAGONIAN ANDES; LARETIA-ACAULIS; VEGETATION; COMMUNITY</t>
  </si>
  <si>
    <t>Cushion plants are one of the most common growth forms in alpine habitats. Their low stature, dense canopy, and compact form allow them to decouple their microclimate from the surrounding environment, mitigating the effect of low temperatures and drought, enhancing the survival of other species. In this study, we evaluated the modifications on soil temperature and moisture over an entire growing season by two cushion species (Laretia acaulis and Azorella monantha) in alpine communities located at two different elevations in the central Chilean Andes. Additionally, we performed seedling survival experiments with two native herbaceous species (Hordeum comosum and Erigeron andicola) and the non-native forb Cerastium arvense to assess if seedling survival is higher within cushions than outside them. Our results indicated that cushions ameliorated extreme low and high substrate temperatures, improved soil moisture, and enhanced seedling survival of the three herbaceous plant species evaluated. Our results suggest that microclimatic modifications associated with cushion plants could be important for the establishment and survival of other plant species, both native and non-native, in the high alpine communities of central Chile.</t>
  </si>
  <si>
    <t>Univ Concepcion, ECOBIOSIS, Dept Bot, Fac Ciencias Nat &amp; Oceanog, Concepcion, Chile; Inst Ecol &amp; Biodiversidad, Santiago, Chile</t>
  </si>
  <si>
    <t>Universidad de Concepcion</t>
  </si>
  <si>
    <t>Cavieres, LA (corresponding author), Univ Concepcion, ECOBIOSIS, Dept Bot, Fac Ciencias Nat &amp; Oceanog, Casilla 160-C, Concepcion, Chile.</t>
  </si>
  <si>
    <t>lcaviere@udec.cl</t>
  </si>
  <si>
    <t>Badano, Ernesto I./C-3585-2013; Cavieres, Lohengrin A./A-9542-2010; Sierra, Angela/F-8409-2014</t>
  </si>
  <si>
    <t>Badano, Ernesto I./0000-0002-9591-0984; Cavieres, Lohengrin A./0000-0001-9122-3020; Sierra, Angela/0000-0002-4207-0950; Molina-Montenegro, Marco/0000-0001-6801-8942</t>
  </si>
  <si>
    <t>10.1657/1523-0430(2007)39[229:MMOCPA]2.0.CO;2</t>
  </si>
  <si>
    <t>WOS:000246649100005</t>
  </si>
  <si>
    <t>Erschbamer, B</t>
  </si>
  <si>
    <t>Erschbamer, Brigitta</t>
  </si>
  <si>
    <t>Winners and losers of climate change in a central alpine glacier foreland</t>
  </si>
  <si>
    <t>SIMULATED ENVIRONMENTAL-CHANGE; PRIMARY SUCCESSION; SHORT-TERM; FUNCTIONAL DIVERSITY; POLYGONUM-VIVIPARUM; TUNDRA PLANTS; ELEVATED CO2; SHOOT GROWTH; LEAF TRAITS; 2 SEASONS</t>
  </si>
  <si>
    <t>The effects of microclimate change on the growth of fast- and slow-growing glacier foreland species were analyzed from 1996 to 2004 to test the following hypotheses: (1) plant growth and cover will increase due to experimental warming; (2) fast-growing species will respond the most; and (3) asexually and sexually reproducing forms of Poa alpina react differently-the asexually produced plantlets will respond the most due to their growth advantages in contrast to seedlings. Temperatures were increased with open top chambers (OTCs) by 1 +/- 0.01 degrees C (soil surface) and 0.7 +/- 0.03 degrees C (soil) during the growing seasons using a modified ITEX approach. Juvenile plants of Artemisia genipi (pioneer species), Trifolium pallescens (mid-successional species), Anthyllis vulneraria ssp. alpestris (late-successional species), Pact alpina, and Poa alpina ssp. vivipara (ubiquitous species) were planted into plots with OTCs and adjacent control plots and harvested after three, four, and five years, respectively. The Artemisia and Poa (R- and S-selected species) showed little response to changes in microclimate, whereas Trifolium and Anthyllis (plastic species, CSR/CS strategists) had significantly higher dry weights and enhanced reproduction.</t>
  </si>
  <si>
    <t>LFU Innsbruck, Inst Bot, A-6020 Innsbruck, Austria</t>
  </si>
  <si>
    <t>Erschbamer, B (corresponding author), LFU Innsbruck, Inst Bot, Sternwartestr 15, A-6020 Innsbruck, Austria.</t>
  </si>
  <si>
    <t>Brigitta.Erschbamer@uibk.ac.at</t>
  </si>
  <si>
    <t>10.1657/1523-0430(2007)39[237:WALOCC]2.0.CO;2</t>
  </si>
  <si>
    <t>WOS:000246649100006</t>
  </si>
  <si>
    <t>Fickert, T; Friend, D; Grüninger, F; Molnia, B; Richter, M</t>
  </si>
  <si>
    <t>Fickert, Thomas; Friend, Donald; Grueninger, Friederike; Molnia, Bruce; Richter, Michael</t>
  </si>
  <si>
    <t>Did debris-covered glaciers serve as pleistocene refugia for plants?: A new hypothesis derived from observations of recent plant growth on glacier surfaces</t>
  </si>
  <si>
    <t>LAURENTIDE ICE-SHEET; YUKON-TERRITORY; EUROPEAN ALPS; NUMERICAL RECONSTRUCTIONS; LAST GLACIATION; MOUNT RAINIER; CLIMATE; SURVIVAL; FLUCTUATIONS; MORAINES</t>
  </si>
  <si>
    <t>This study proposes a new hypothesis: Debris-covered glaciers served as Pleistocene biological refugia. This is based on detailed studies of vascular plant growth on six debris-mantled glaciers, literally around the world, as well as many casual observations also across the globe. We find that such glaciers are quite common and are distributed globally. Using Carbon Glacier, Mount Rainier, U.S.A., as a type locality and case study, we show aspects of the floristic and structural diversity as well as spatial patterns of plant growth on the glacier surface. Migration strategies, root characteristics, and origin and dispersal strategies for vascular plant species are documented. Also reported are special microclimatic conditions in these areas allowing for this remarkable plant ecology. We find that alpine taxa can grow considerably below their usual altitudinal niche due to the cooler subsurface soil temperatures found on glacial debris with ice underneath, and that may have significantly altered the spatial distribution of such flora during full glacial conditions. This in turn creates previously undocumented areas from which alpine, and perhaps arctic, plant species reestablished in post-glacial time. This hypothesis is complementary to both the nunatak hypothesis and tabula rasa theory and possibly helps solve the ongoing controversy between them.</t>
  </si>
  <si>
    <t>Minnesota State Univ, Dept Geog, Mankato, MN 56001 USA; Univ Passau, D-94032 Passau, Germany; US Geol Survey, Reston, VA 20192 USA; Univ Erlangen Nurnberg, Inst Geog, D-91054 Erlangen, Germany</t>
  </si>
  <si>
    <t>Minnesota State Colleges &amp; Universities; Minnesota State University Mankato; University of Passau; United States Department of the Interior; United States Geological Survey; University of Erlangen Nuremberg</t>
  </si>
  <si>
    <t>Friend, D (corresponding author), Minnesota State Univ, Dept Geog, Mankato, MN 56001 USA.</t>
  </si>
  <si>
    <t>donald.friend@mnsu.edu</t>
  </si>
  <si>
    <t>Fickert, Thomas/AAC-6034-2021</t>
  </si>
  <si>
    <t>Fickert, Thomas/0000-0001-6748-4431</t>
  </si>
  <si>
    <t>10.1657/1523-0430(2007)39[245:DDGSAP]2.0.CO;2</t>
  </si>
  <si>
    <t>WOS:000246649100007</t>
  </si>
  <si>
    <t>Kaitaniemi, P</t>
  </si>
  <si>
    <t>Kaitaniemi, Pekka</t>
  </si>
  <si>
    <t>Consequences of variation in tree architecture and leaf traits on light capture and photosynthetic nitrogen use efficiency in mountain birch</t>
  </si>
  <si>
    <t>PUBESCENS SSP TORTUOSA; EPIRRITA-AUTUMNATA; GROWTH-RESPONSE; MODEL; AREA; PERFORMANCE; RESISTANCE; MORPHOLOGY; SEEDLINGS; ECONOMY</t>
  </si>
  <si>
    <t>In the subarctic environment, shortage of nitrogen is common and may have immediate effects on tree survival via lowered photosynthetic capacity in cold periods. Yet, despite the critical role of nitrogen, the subarctic tree mountain birch [Betula pubescens ssp. czerepanovii (Orlova) Hamet-Ahti] shows remarkable variability in tree architecture and leaf traits, which affect its nitrogen use and its ability to capture light. It is possible that intraspecific variation in these traits exhibits alternative strategies for maintaining efficient nitrogen use, provided it results in equal efficiency despite variation in the underlying traits, but true differences between tree individuals may also exist. Computer simulations were used to investigate how daily photosynthetic nitrogen use efficiency (DPNUE) and the potential rate of photosynthesis (P-max) of whole birch trees depend on tree architecture, the area or number of leaves per shoot, or nitrogen invested per leaf. The simulations showed that mountain birch has the potential to achieve an equal P-max or DPNUE by adjusting variation in many traits, but the potential was not realized as a large amount of variation remained when leaf traits measured in the field were used to estimate DPNUE and P-max. Trade-offs between P-max, DPNUE, and other tree functions such as resistance to herbivores, growth, maintenance, or reproduction are likely causes for variation.</t>
  </si>
  <si>
    <t>Univ Helsinki, Hyytiala Forestry Field Stn, FI-35500 Korkeakoski, Finland</t>
  </si>
  <si>
    <t>University of Helsinki</t>
  </si>
  <si>
    <t>Kaitaniemi, P (corresponding author), Univ Helsinki, Hyytiala Forestry Field Stn, Hyytialantie 124, FI-35500 Korkeakoski, Finland.</t>
  </si>
  <si>
    <t>Pekka.J.Kaitaniemi@helsinki.fi</t>
  </si>
  <si>
    <t>Kaitaniemi, Pekka/A-2022-2008</t>
  </si>
  <si>
    <t>Kaitaniemi, Pekka/0000-0002-5162-242X</t>
  </si>
  <si>
    <t>10.1657/1523-0430(2007)39[258:COVITA]2.0.CO;2</t>
  </si>
  <si>
    <t>WOS:000246649100008</t>
  </si>
  <si>
    <t>Larsen, KS; Grogan, P; Jonasson, S; Michelsen, A</t>
  </si>
  <si>
    <t>Larsen, Klaus S.; Grogan, Paul; Jonasson, Sven; Michelsen, Anders</t>
  </si>
  <si>
    <t>Respiration and Microbial Dynamics in Two Subarctic Ecosystems during Winter and Spring Thaw: Effects of Increased Snow Depth</t>
  </si>
  <si>
    <t>CLIMATE-CHANGE; CHLOROFORM FUMIGATION; NITROGEN DYNAMICS; EXTRACTION METHOD; SOIL RESPIRATION; ROCKY-MOUNTAINS; CO2 PRODUCTION; ALPINE TUNDRA; HEATH TUNDRA; TAIGA SOILS</t>
  </si>
  <si>
    <t>Recent evidence suggests that biogeochemical processes in the Arctic during late winter and spring-thaw strongly affect the annual cycling of carbon and nutrients, indicating high susceptibility to climate change. We therefore examined the carbon and nutrient dynamics in a sub-arctic heath and a birch forest with high temporal resolution from March until snowmelt at both ambient and experimentally increased snow depths. Ecosystem respiration (ER) from mid-March to snowmelt at ambient snow was high, reaching 99 +/- 19 (birch) and 67 +/- 1.4 g C m(-2) (heath). Enhanced snow depth by about 20-30 cm increased ER by 77-157% during late winter but had no effects during spring-thaw. ER rates at the birch site were poorly described by classic first-order exponential models (R-2 = 0.06-0.10) with temperature as a single variable, but model fit improved considerably by including the supply of dissolved organic carbon (DOC) or nitrogen (DON) in the model (R-2 = 0.40-0.47). At the heath, model fit with temperature as the single variable was better (R-2 = 0.38-0.52), yet it improved when the supply of DOC or DON was included (R-2 = 0.65-0.72). Microbial carbon decreased by 43% within a few days after the first soil freeze-thaw event, while microbial nitrogen and phosphorus decreased more slowly. Because soil inorganic nitrogen and phosphorus concentrations were low, nutrients released from lysed microbial cells may have been sequestered by surviving microbes or by plants resuming growth. The fast change in microbial biomass and the dependence of ER on substrate availability stress the need for high temporal resolution in future research on ecosystem carbon and nutrient dynamics at snowmelt in order to make robust models of their turnover.</t>
  </si>
  <si>
    <t>Univ Copenhagen, Inst Biol, Dept Terr Ecol, DK-1353 Copenhagen K, Denmark; Queens Univ, Dept Biol, Kingston, ON K7L 3N6, Canada</t>
  </si>
  <si>
    <t>University of Copenhagen; Queens University - Canada</t>
  </si>
  <si>
    <t>Larsen, KS (corresponding author), Riso Natl Lab, Biosyst Dept, Bldg 309,Frederiksborgvej 399, DK-4000 Roskilde, Denmark.</t>
  </si>
  <si>
    <t>klaus.steenberg.larsen@risoe.dk</t>
  </si>
  <si>
    <t>Grogan, Paul T/AAU-1504-2021; Michelsen, Anders/L-5279-2014; Larsen, Klaus Steenberg/C-7549-2015</t>
  </si>
  <si>
    <t>Grogan, Paul T/0000-0001-8986-4806; Michelsen, Anders/0000-0002-9541-8658; Larsen, Klaus Steenberg/0000-0002-1421-6182</t>
  </si>
  <si>
    <t>10.1657/1523-0430(2007)39[268:RAMDIT]2.0.CO;2</t>
  </si>
  <si>
    <t>WOS:000246649100009</t>
  </si>
  <si>
    <t>Naveau, P; Jomelli, V; Cooley, D; Delphine, G; Rabatel, A</t>
  </si>
  <si>
    <t>Naveau, Philippe; Jomelli, Vineent; Cooley, Daniel; Delphine, Grancher; Rabatel, Antoine</t>
  </si>
  <si>
    <t>Modeling uncertainties in lichenometry studies</t>
  </si>
  <si>
    <t>CLIMATE; GROWTH; EXTREMES; SNOW</t>
  </si>
  <si>
    <t>To date glacial and periglacial landforms, lichenometry is a valuable method but, to improve efficiency, the estimated surface dates derived from traditional methods need to be more accurate. In other words, the statistical uncertainty associated with inferred dates has to be reduced. How to perform such a reduction is the main question that we will address in this paper. An interdisciplinary approach (lichenometry and statistics) allows reduction in the main sources of uncertainty: lichen diameters and their associated ages. Around 2600 lichen measurements collected on moraines from the Charquini glacier in Bolivia (Cordillera Real) are used to illustrate the advantages of our approach over past studies. As for any statistical estimation procedure, the error analysis in lichenometry is directly linked to the type of observations and the statistical model used to represent accurately these data. The attribute of lichenometry studies is that the measurements are not averages but maxima; only the largest lichen diameters provide information about the surface ages. To take this characteristic into account, we propose a novel statistical way to model maximum lichen diameters. Our model, based on the extreme value theory, allows us to compute small confidence intervals for the inferred surface ages. In addition, it offers three other advantages: (1) a global statistical model, as all our data (dated surfaces and all lichen maximum diameters) are represented with. a unique function; (2) a mathematical framework within which the maximum lichen distribution is derived from a statistical theory; and (3) flexibility, as different types of growing curves can be investigated.</t>
  </si>
  <si>
    <t>Univ Colorado, Dept Appl Math, Boulder, CO 80309 USA; CNRS, Lab Geog Phys, Meudon, France; IRDLab Glaciol &amp; Geophys Environm, Grenoble, France</t>
  </si>
  <si>
    <t>University of Colorado System; University of Colorado Boulder; Universite Paris-Est-Creteil-Val-de-Marne (UPEC); Centre National de la Recherche Scientifique (CNRS)</t>
  </si>
  <si>
    <t>Naveau, P (corresponding author), CNRS, Lab Sci Climat &amp; Environm, IPSL, F-91191 Gif Sur Yvette, France.</t>
  </si>
  <si>
    <t>naveau@lsce.cnrs-gif.fr</t>
  </si>
  <si>
    <t>Rabatel, Antoine/AAA-1413-2021; Rabatel, Antoine/L-5249-2015; Rabatel, Antoine/AAA-1769-2022</t>
  </si>
  <si>
    <t>Rabatel, Antoine/0000-0002-5304-1055; Naveau, Philippe/0000-0002-7231-6210</t>
  </si>
  <si>
    <t>10.1657/1523-0430(2007)39[277:MUILS]2.0.CO;2</t>
  </si>
  <si>
    <t>WOS:000246649100010</t>
  </si>
  <si>
    <t>Porinchu, DF; Potito, AP; MacDonald, GM; Bloom, AM</t>
  </si>
  <si>
    <t>Porinchu, David F.; Potito, Aaron P.; MacDonald, Glen M.; Bloom, Amy M.</t>
  </si>
  <si>
    <t>Subfossil chironomids as indicators of recent climate change in Sierra Nevada, California, lakes</t>
  </si>
  <si>
    <t>PAST HYPOLIMNETIC ANOXIA; QUANTITATIVE INFERENCES; HOLOCENE CLIMATE; TEMPERATURE; DIPTERA; COMMUNITIES; MILLENNIA; SEDIMENTS; PROGRESS; CAPACITY</t>
  </si>
  <si>
    <t>High-resolution chironomid (Insecta: Diptera) stratigraphies were developed for three subalpine lakes in the Sierra Nevada of California to assess whether these lakes have been impacted by recent climate change evident in regional instrumental records for the 19th and 20th centuries. Detrended correspondence analysis (DCA) of the chironomid fauna indicates that the lakes have experienced similar unidirectional change in community composition over the 20th century, with two of the lakes showing particularly sharp gradients of change since the 1970s. Application of a chironomid-based surface water temperature inference model (r(2) (jack) 0.73, RMSEPjack = 1.1 degrees C, and a maximum bias of 1.24 degrees C) to the subfossil chironomid assemblages preserved in the lake sediment provided quantitative estimates of surface water temperature changes and revealed the existence of similar water temperature trends between the late 19th century and the present. Above average water temperatures characterized the late 20th century and below average surface water temperatures occurred between A.D. 1910 and A.D. 1980. Fluctuations in the surface water temperature of these lakes closely track changes in mean July air temperature as measured in Fresno, California, over the period A.D. 1895-2001. It appears that 20th century climate change has had an overriding influence on the composition of the chironomid communities within these three lakes. This study demonstrates that subfossil chironomid analysis can provide detailed records of community response to local and regional climatic changes at subdecadal time scales. It also suggests that chironomid communities in subalpine lakes in the Sierra Nevada are already recording the impact of recent climate warming.</t>
  </si>
  <si>
    <t>Ohio State Univ, Dept Geog, Columbus, OH 43210 USA; Univ Calif Los Angeles, Dept Geog, Los Angeles, CA 90095 USA; Univ Calif Los Angeles, Dept Organism Biol Ecol &amp; Evolut, Los Angeles, CA 90095 USA; Illinois State Univ, Dept Geog, Normal, IL 61790 USA</t>
  </si>
  <si>
    <t>University System of Ohio; Ohio State University; University of California System; University of California Los Angeles; University of California System; University of California Los Angeles; Illinois State University</t>
  </si>
  <si>
    <t>Porinchu, DF (corresponding author), Ohio State Univ, Dept Geog, Columbus, OH 43210 USA.</t>
  </si>
  <si>
    <t>porinchu.1@osu.edu</t>
  </si>
  <si>
    <t>Porinchu, DF/S-4360-2019</t>
  </si>
  <si>
    <t>Porinchu, David/0000-0002-0495-3082; Potito, Aaron/0000-0003-0194-9552</t>
  </si>
  <si>
    <t>10.1657/1523-0430(2007)39[286:SCAIOR]2.0.CO;2</t>
  </si>
  <si>
    <t>WOS:000246649100011</t>
  </si>
  <si>
    <t>Roush, W; Munroe, JS; Fagre, DB</t>
  </si>
  <si>
    <t>Roush, W.; Munroe, J. S.; Fagre, D. B.</t>
  </si>
  <si>
    <t>Development of a spatial analysis metho using ground-based repeat photography to detect changes in the alpine treeline ecotone, Glacier National Park, Montana, USA</t>
  </si>
  <si>
    <t>CLIMATIC VARIABILITY; ENVIRONMENTAL-CHANGE; GEOMORPHIC CONTROLS; CARBON BALANCE; PATTERNS; FOREST; MOUNTAINS; LANDSCAPE</t>
  </si>
  <si>
    <t>Repeat photography is a powerful tool for detection of landscape change over decadal timescales. Here a novel method is presented that applies spatial analysis software to digital photo-pairs, allowing vegetation change to be categorized and quantified. This method is applied to 12 sites within the alpine treeline ecotone of Glacier National Park, Montana, and is used to examine vegetation changes over timescales ranging from 71 to 93 years. Tree cover at the treeline ecotone increased in 10 out of the 12 photo-pairs (mean increase of 60%). Establishment occurred at all sites, infilling occurred at 11 sites. To demonstrate the utility of this method, patterns of tree establishment at treeline are described and the possible causes of changes within the treeline ecotone are discussed. Local factors undoubtedly affect the magnitude and type of the observed changes, however the ubiquity of the increase in tree cover implies a common forcing mechanism. Mean minimum summer temperatures have increased by 1.5 degrees C over the past century and, coupled with variations in the amount of early spring snow water equivalent, likely account for much of the increase in tree cover at the treeline ecotone. Lastly, shortcomings of this method are presented along with possible solutions and areas for future research.</t>
  </si>
  <si>
    <t>US Geol Survey, No Rocky Mt Sci Ctr, W Glacier, MT 59936 USA; Middlebury Coll, Dept Geol, Middlebury, VT 05753 USA; Middlebury Coll, Environm Studies Program, Middlebury, VT 05753 USA</t>
  </si>
  <si>
    <t>Roush, W (corresponding author), US Geol Survey, No Rocky Mt Sci Ctr, W Glacier, MT 59936 USA.</t>
  </si>
  <si>
    <t>will@kamutlake.net</t>
  </si>
  <si>
    <t>10.1657/1523-0430(2007)39[297:DOASAM]2.0.CO;2</t>
  </si>
  <si>
    <t>WOS:000246649100012</t>
  </si>
  <si>
    <t>Weber, B; Scherr, C; Reichenberger, H; Büdel, B</t>
  </si>
  <si>
    <t>Weber, Bettina; Scherr, Claudia; Reichenberger, Hans; Buedel, Burkhard</t>
  </si>
  <si>
    <t>Fast reactivation by high air humidity and photosynthetic performance of alpine lichens growing endolithically in limestone</t>
  </si>
  <si>
    <t>WATER-VAPOR UPTAKE; CARBON-DIOXIDE EXCHANGE; NET PHOTOSYNTHESIS; MECHANICAL ACTION; GAS-EXCHANGE; CO2 EXCHANGE; LIQUID WATER; SOIL CRUST; PATTERNS; CYANOBACTERIA</t>
  </si>
  <si>
    <t>This paper is dedicated to Otto Ludwig Lange on the occasion of his 80th birthday. Hymenelia prevostii and H. coerulea are common endolithic lichen species on limestone outcrops in the eastern alpine Mountains. We investigated their photosynthetic properties under controlled laboratory conditions and analyzed them with respect to relevant meso- and macroclimatic parameters to determine specific adaptations to the extreme habitat. For the first time, it can be shown that endolithically living lichens are able to utilize water vapor alone to gain positive net photosynthesis (NP) rates. With respect to liquid water, both species reached optimum NP rates at low water content (H. prevostii: 0.26 mm, H. coerula: 0.07 mm rainfall equivalent), and NP was increasingly depressed at water suprasaturation. In their preferred microhabitat on steep limestone outcrops in alpine regions, endolithic lichens avoid inundation over long time spans, but could perfectly utilize the high air humidity of trionthly means between 60 and 80%. Due to light reduction by endolithic growth, both species revealed relatively high photosynthetic light compensation and saturation values, thus avoiding the high light intensities of the alpine habitat. Both lichen species were able to perform 90% of their optimal NP over a wide temperature range and still reached about one-third of their maximum NP rates at 2 degrees C, demonstrating their capability to cope with the large temperature changes Occurring in their habitat.</t>
  </si>
  <si>
    <t>Univ Kaiserslautern, Dept Biol Plant Ecol &amp; Systemat, D-67653 Kaiserslautern, Germany; Soc Canc Res, Inst Hiscia, CH-4144 Arlesheim, Switzerland</t>
  </si>
  <si>
    <t>University of Kaiserslautern</t>
  </si>
  <si>
    <t>Weber, B (corresponding author), Univ Kaiserslautern, Dept Biol Plant Ecol &amp; Systemat, POB 3049, D-67653 Kaiserslautern, Germany.</t>
  </si>
  <si>
    <t>weberb@rhrk.uni-kl.de</t>
  </si>
  <si>
    <t>Weber, Bettina/G-8316-2016</t>
  </si>
  <si>
    <t>Weber, Bettina/0000-0002-5453-3967</t>
  </si>
  <si>
    <t>10.1657/1523-0430(2007)39[309:FRBHAH]2.0.CO;2</t>
  </si>
  <si>
    <t>WOS:000246649100013</t>
  </si>
  <si>
    <t>Wooller, MJ; Zazula, GD; Edwards, M; Froese, DG; Boone, RD; Parker, C; Bennett, B</t>
  </si>
  <si>
    <t>Wooller, Matthew J.; Zazula, Grant D.; Edwards, Mary; Froese, Duane G.; Boone, Richard D.; Parker, Carolyn; Bennett, Bruce</t>
  </si>
  <si>
    <t>Stable carbon isotope compositions of Eastern Beringian grasses and sedges: Investigating their potential as paleoenvironmental indicators</t>
  </si>
  <si>
    <t>CENTRAL YUKON-TERRITORY; ICE-AGE; STEPPE-TUNDRA; DAWSON TEPHRA; MOUNT-KENYA; LAKE; VEGETATION; ALASKA; CUTICLES; POLLEN</t>
  </si>
  <si>
    <t>The nature of vegetation cover present in Beringia during the last glaciation remains unclear. Uncertainty rests partly with the limitations of conventional paleoecological methods. A lack of sufficient taxonomic resolution most notably associated with the grasses and sedges restricts the paleoccological inferences that can be made. Stable isotope measurements of subfossil plants are frequently used to enhance paleoenvironmental reconstructions. We present an investigation of the stable carbon isotope composition (delta C-13) of modern and subfossil grasses and sedges (graminoids) from Eastern Beringia. Modern grasses from wet habitats had a mean delta C-13 of -29.1 parts per thousand. (standard deviation [SD] = 2.1 parts per thousand, n = 75), while those from dry habitats had a mean of -26.9 parts per thousand (SD = 1.19, n = 27). Sedges (n = -50) from dry, wet, marsh, and sand dune habitats had specific habitat ranges. Four modern C-4 grasses had delta C-13 values typical Of C4 plants. Analyses were also conducted using subfossil graminoid remains from several sedimentary paleoecological contexts (e.g., arctic ground squirrel nests, loess, permafrost, and paleosols) in Eastern Beringia. Results from these subfossil samples, ranging in age from &gt; 40,000 to ca. 11,000 cal. yr BP, illustrate that the delta C-13 of graminoid remains has altered during the past. The range of variation in the subfossil samples is within the range from modern graminoid specimens from dry and wet habitats. The results indicate that stable isotopes could contribute to a comprehensive and multiproxy reconstruction of Beringian paleoenvironments.</t>
  </si>
  <si>
    <t>Univ Alaska, Alaska Stable Isotope Facil, Water &amp; Environm Res Ctr, Fairbanks, AK 99775 USA; Univ Alaska, Sch Fisheries &amp; Ocean Sci, Fairbanks, AK 99775 USA; Simon Fraser Univ, Dept Biol Sci, Burnaby, BC V5A 1S6, Canada; Univ Southampton, Sch Geog, Southampton SO17 1BJ, Hants, England; Univ Alberta, Dept Earth &amp; Atmospher Sci, Edmonton, AB T6G 2E3, Canada; Univ Alaska, Inst Arctic Biol, Fairbanks, AK 99775 USA; Univ Alaska, Herbarium, Univ Alaska Museum N, Fairbanks, AK 99775 USA; Nat Serve Yukon, Whitehorse, YT Y1A 2C6, Canada</t>
  </si>
  <si>
    <t>University of Alaska System; University of Alaska Fairbanks; University of Alaska System; University of Alaska Fairbanks; Simon Fraser University; University of Southampton; University of Alberta; University of Alaska System; University of Alaska Fairbanks; University of Alaska System; University of Alaska Fairbanks</t>
  </si>
  <si>
    <t>Wooller, MJ (corresponding author), Univ Alaska, Alaska Stable Isotope Facil, Water &amp; Environm Res Ctr, Duckering Bldg, Fairbanks, AK 99775 USA.</t>
  </si>
  <si>
    <t>ffmjw@uaf.edu</t>
  </si>
  <si>
    <t>Froese, Duane G/B-6038-2009</t>
  </si>
  <si>
    <t>Wooller, Matthew/0000-0002-5065-4235</t>
  </si>
  <si>
    <t>10.1657/1523-0430(2007)39[318:SCICOE]2.0.CO;2</t>
  </si>
  <si>
    <t>WOS:000246649100014</t>
  </si>
  <si>
    <t>Yamaguchi, S; Sawagaki, T; Matsumoto, T; Muravyev, YD; Naruse, R</t>
  </si>
  <si>
    <t>Yamaguchi, Satoru; Sawagaki, Takanobu; Matsumoto, Takane; Muravyev, Yaroslav D.; Naruse, Renji</t>
  </si>
  <si>
    <t>Influence of debris cover on ogive-like surface morphology of Bilchenok Glacier in Kamchatka</t>
  </si>
  <si>
    <t>Bilchenok Glacier is a surging glacier in the Kamchatka Peninsula, Russia, which most recently surged in 1982 and is currently in its quiescent phase. Field research in 1998 revealed an ogive-like repeated pattern of transverse ridges and intervening gently sloping ice at the surface of the ablation area of this glacier. It was also observed that most of the glacial surface was covered by volcanic rocks and ash, and the debris thickness on the ridges was more than I in, whereas the gently sloping ice was covered by thin debris. We posit that the pattern of the debris thickness is caused by the unique conditions of Bilchenok Glacier, namely, the restricted position of its debris supply at the foot of the rock walls beside the icefall and its surging behavior. The distance between the ridges might indicate the total horizontal displacement attributable to surges. The dependence of the ablation rate on the debris thickness can result in a highly undulating ice surface between the ridge and the gently sloping ice. We estimate the effect of the debris thickness on the ice surface profile using a simple model and this model successfully predicts that high ice relief can be caused by different ablation rates in the debris cover thickness.</t>
  </si>
  <si>
    <t>Natl Res Inst Earth Sci &amp; Disaster Prevent, Snow &amp; Ice Res Ctr, Nagaoka, Niigata 9400821, Japan; Hokkaido Univ, Lab Geoecol, Grad Sch Environm Earth Sci, Kita Ku, Sapporo, Hokkaido 0600810, Japan; Hokkaido Univ, Hydrol Lab, Dept Nat Hist Sci, Fac Sci,Kita Ku, Sapporo, Hokkaido 0600810, Japan; Glacier &amp; Cryospher Environm Res Lab, Tottori 6800011, Japan; Russian Acad Sci, Inst Volcanol, Petropavlovsk Kamchatski, Russia</t>
  </si>
  <si>
    <t>National Research Institute for Earth Science &amp; Disaster Resilience; Hokkaido University; Hokkaido University; Russian Academy of Sciences; Institute of Volcanology &amp; Seismology, Far Eastern Branch, RAS</t>
  </si>
  <si>
    <t>Yamaguchi, S (corresponding author), Natl Res Inst Earth Sci &amp; Disaster Prevent, Snow &amp; Ice Res Ctr, Nagaoka, Niigata 9400821, Japan.</t>
  </si>
  <si>
    <t>yamasan@bosai.go.jp</t>
  </si>
  <si>
    <t>Sawagaki, Takanobu/C-7632-2012; Muravyev, Yaroslav D./D-9847-2014</t>
  </si>
  <si>
    <t>10.1657/1523-0430(2007)39[332:IODCOO]2.0.CO;2</t>
  </si>
  <si>
    <t>WOS:000246649100015</t>
  </si>
  <si>
    <t>Seimon, A; Halloy, SRP; Seimon, TA</t>
  </si>
  <si>
    <t>Seimon, Anton; Halloy, Stephan R. P.; Seimon, Tracie A.</t>
  </si>
  <si>
    <t>Recent observation of a proliferation of Ranunculus trichophyllus chaix. in high-altitude lakes of the Mount Everest region:: Comment</t>
  </si>
  <si>
    <t>Wildlife Conservat Soc, Bronx, NY 10460 USA; Columbia Univ, New York, NY 10032 USA; WWF Bolivia, Santa Cruz, Bolivia</t>
  </si>
  <si>
    <t>Wildlife Conservation Society; Columbia University</t>
  </si>
  <si>
    <t>Seimon, A (corresponding author), Wildlife Conservat Soc, 2300 So Blvd, Bronx, NY 10460 USA.</t>
  </si>
  <si>
    <t>aseimon@wcs.org; shalloy@gmail.com; tad2105@columbia.edu</t>
  </si>
  <si>
    <t>Halloy, Stephan/AFS-6326-2022</t>
  </si>
  <si>
    <t>Seimon, Tracie/0000-0003-3658-1364</t>
  </si>
  <si>
    <t>10.1657/1523-0430(2007)39[340:ROOAPO]2.0.CO;2</t>
  </si>
  <si>
    <t>WOS:000246649100016</t>
  </si>
  <si>
    <t>Lacoul, P; Freedman, B</t>
  </si>
  <si>
    <t>Lacoul, P.; Freedman, B.</t>
  </si>
  <si>
    <t>Recent observation of a proliferation of Ranunculus trichophyllus Chaix. in high-altitude lakes of the mount Everest region:: Response</t>
  </si>
  <si>
    <t>Dalhousie Univ, Dept Biol, Halifax, NS B3H 4J1, Canada</t>
  </si>
  <si>
    <t>Dalhousie University</t>
  </si>
  <si>
    <t>Lacoul, P (corresponding author), Dalhousie Univ, Dept Biol, Halifax, NS B3H 4J1, Canada.</t>
  </si>
  <si>
    <t>placoul@dal.ca; bill.freedman@dal.ca</t>
  </si>
  <si>
    <t>10.1657/1523-0430(2007)39[342:ROOAPO]2.0.CO;2</t>
  </si>
  <si>
    <t>WOS:000246649100017</t>
  </si>
  <si>
    <t>Turner, J; Abu Samah, A</t>
  </si>
  <si>
    <t>Turner, John; Abu Samah, Azizan</t>
  </si>
  <si>
    <t>Workshop on the Antarctic wind field</t>
  </si>
  <si>
    <t>British Antarctic Survey, Cambridge CB3 0ET, England; Univ Malaya, Kuala Lumpur 59100, Malaysia</t>
  </si>
  <si>
    <t>UK Research &amp; Innovation (UKRI); Natural Environment Research Council (NERC); NERC British Antarctic Survey; Universiti Malaya</t>
  </si>
  <si>
    <t>Turner, J (corresponding author), British Antarctic Survey, Madingley Rd, Cambridge CB3 0ET, England.</t>
  </si>
  <si>
    <t>J.Turner@bas.ac.uk</t>
  </si>
  <si>
    <t>ABU SAMAH, AZIZAN HJ/B-8295-2010</t>
  </si>
  <si>
    <t>10.1175/BAMS-88-5-721</t>
  </si>
  <si>
    <t>175CQ</t>
  </si>
  <si>
    <t>WOS:000246990600020</t>
  </si>
  <si>
    <t>Siciliano, SD; Ma, W; Powell, S</t>
  </si>
  <si>
    <t>Siciliano, Steven D.; Ma, Wai; Powell, Shane</t>
  </si>
  <si>
    <t>Evaluation of quantitative polymerase chain reaction to assess nosZ gene prevalence in mixed microbial communities</t>
  </si>
  <si>
    <t>CANADIAN JOURNAL OF MICROBIOLOGY</t>
  </si>
  <si>
    <t>denitrification; nosZ; quantitative PCR; microbial ecology; Antarctic; Arctic; soils</t>
  </si>
  <si>
    <t>REAL-TIME PCR; 16S RIBOSOMAL-RNA; QUANTIFICATION; SOILS; BIAS; DNA; DENITRIFICATION; POPULATIONS; LANDSCAPE; MULTIPLEX</t>
  </si>
  <si>
    <t>The usefulness of quantitative polymerase chain reaction (QPCR) to measure nosZ gene prevalence in a multitemplate reaction was assessed by comparing 19 nosZ template DNA samples and 91 model Communities. Efficiencies of the QPCR varied but were not significantly different among nosZ genotypes and were not linked to genetic distance from Ralstonia eutropha. nosZ genotype QPCR efficiencies obtained from isolated denitrifiers were higher (84.8%) than those obtained from excised denaturing gradient gel electrophoresis bands or clones of PCR products from total community DNA (ca. 60%). Analysis of the model communities indicated that QPCR accurately predicts gene prevalence in communities composed of up to six templates.</t>
  </si>
  <si>
    <t>Univ Saskatchewan, Dept Soil Sci, Saskatoon, SK S7N 5A8, Canada; Univ Tasmania, Sch Agr Sci, Hobart, Tas 7001, Australia</t>
  </si>
  <si>
    <t>University of Saskatchewan; University of Tasmania</t>
  </si>
  <si>
    <t>Siciliano, SD (corresponding author), Univ Saskatchewan, Dept Soil Sci, Saskatoon, SK S7N 5A8, Canada.</t>
  </si>
  <si>
    <t>steven.siciliano@usask.ca</t>
  </si>
  <si>
    <t>Powell, Shane M/C-2391-2014; Siciliano, Steven D/G-3370-2011</t>
  </si>
  <si>
    <t>Siciliano, Steven/0000-0002-8994-3341; Powell, Shane/0000-0001-5082-1630</t>
  </si>
  <si>
    <t>CANADIAN SCIENCE PUBLISHING, NRC RESEARCH PRESS</t>
  </si>
  <si>
    <t>OTTAWA</t>
  </si>
  <si>
    <t>65 AURIGA DR, SUITE 203, OTTAWA, ON K2E 7W6, CANADA</t>
  </si>
  <si>
    <t>0008-4166</t>
  </si>
  <si>
    <t>1480-3275</t>
  </si>
  <si>
    <t>CAN J MICROBIOL</t>
  </si>
  <si>
    <t>Can. J. Microbiol.</t>
  </si>
  <si>
    <t>10.1139/W07-014</t>
  </si>
  <si>
    <t>Biochemistry &amp; Molecular Biology; Biotechnology &amp; Applied Microbiology; Immunology; Microbiology</t>
  </si>
  <si>
    <t>199FV</t>
  </si>
  <si>
    <t>WOS:000248682500011</t>
  </si>
  <si>
    <t>Zoccolillo, L; Amendola, L; Cafaro, C; Insogna, S</t>
  </si>
  <si>
    <t>Zoccolillo, Lelio; Amendola, Luca; Cafaro, Claudia; Insogna, Susanna</t>
  </si>
  <si>
    <t>Volatile chlorinated hydrocarbons in antarctic superficial snow sampled during Italian ITASE expeditions</t>
  </si>
  <si>
    <t>CHEMOSPHERE</t>
  </si>
  <si>
    <t>volatile chlorinated hydrocarbons; halocarbons; antarctic snow; environmental analysis</t>
  </si>
  <si>
    <t>ORGANIC-CHEMICALS; EAST ANTARCTICA; SURFACE WATERS; HALOCARBONS; VARIABILITY; CHLOROFORM; ICE; AIR</t>
  </si>
  <si>
    <t>In order to detect the presence of some volatile chlorinated hydrocarbons (VCHCs) and to understand their transport and deposition mechanism, superficial snow was sampled during two Italian ITASE (International Trans Antarctic Scientific Expedition) expeditions: the first traverse was carried out in 1998/1999 from Terra Nova Bay to Dome Concordia; the second traverse was carried out in 2001/2002 through Adelie, George V, Oates and Northern Victoria Lands. Some VCHCs (chloroform; 1,1,1-trichloroethane; tetrachloromethane; 1,1,2-trichloroethylene; tetrachloroethylene) were analysed using a highly sensitive and selective hyphenated technique composed of a purge-and-trap injector coupled to a gas chromatograph with a mass spectrometric detector (PTI-GC-MS) operating in SIM mode. Investigated VCHCs were present in all analysed snow samples with concentration levels of several units, tens, or sometimes hundreds of ng kg(-1). VCHC snow concentration levels remained approximately constant with changing distance from the coast and the comparison between fresh and aged snow did not show any substantial differences; on the basis of this evidence marine aerosol and dry deposition may be rejected as principal VCHC transport and deposition mechanism hypotheses. VCHC concentration levels in Antarctic snow samples were comparable to or greater than those found in snow from temperate zones. (c) 2006 Elsevier Ltd. All rights reserved.</t>
  </si>
  <si>
    <t>Univ Roma La Sapienza, Dipartimento Chim, I-00185 Rome, Italy</t>
  </si>
  <si>
    <t>Sapienza University Rome</t>
  </si>
  <si>
    <t>Zoccolillo, L (corresponding author), Univ Roma La Sapienza, Dipartimento Chim, Piazzale Aldo Moro 5, I-00185 Rome, Italy.</t>
  </si>
  <si>
    <t>lelio.zoccolillo@uniroma1.it</t>
  </si>
  <si>
    <t>Insogna, Susanna/M-7301-2015</t>
  </si>
  <si>
    <t>Insogna, Susanna/0000-0001-9463-1273</t>
  </si>
  <si>
    <t>0045-6535</t>
  </si>
  <si>
    <t>Chemosphere</t>
  </si>
  <si>
    <t>10.1016/j.chemosphere.2006.12.050</t>
  </si>
  <si>
    <t>165FU</t>
  </si>
  <si>
    <t>WOS:000246290300001</t>
  </si>
  <si>
    <t>Larner, BL; Seen, AJ; Palmer, AS; Snape, I</t>
  </si>
  <si>
    <t>Larner, Bronwyn L.; Seen, Andrew J.; Palmer, Anne S.; Snape, Ian</t>
  </si>
  <si>
    <t>Study of metal and metalloid contaminant availability in Antarctic marine sediments</t>
  </si>
  <si>
    <t>Brown Bay; metal and metalloid contaminants; BCR sequential extraction; partial extraction; AVS</t>
  </si>
  <si>
    <t>ACID VOLATILE SULFIDE; FIELD ICP-MS; CASEY STATION; ENVIRONMENTAL VARIABLES; ASSEMBLAGES; SPECIATION; PATTERNS; IGNITION; CADMIUM; NICKEL</t>
  </si>
  <si>
    <t>Previous studies of impacted sites near Casey Station, Antarctica, have revealed elevated concentrations of metals and metalloids, particularly Cd, Cu, Fe, Pb, Sn and Zn in marine sediments. However, attempts to understand the availability and mobility of contaminant elements have not provided a true understanding of speciation. The current work shows, for the first time, that sediments in Brown Bay, an embayment adjacent to the Thala Valley waste disposal site, have elevated concentrations of sulfide, well in excess of that required to bind contaminant metals such as Cd, Cu, Ph and Zn. Furthermore, sediment characterisation using the BCR sequential extraction scheme has shown metal partitioning consistent with sulfides being the controlling factor in metal availability, thus explaining the low porewater concentrations of these metals. The speciation of Sn in Brown Bay, however, is still unclear with the BCR sequential extraction scheme partitioning Sn predominantly into the residual fraction despite Sn being readily extracted by dilute HCl. (c) 2006 Elsevier Ltd. All rights reserved.</t>
  </si>
  <si>
    <t>Univ Tasmania, Sch Chem, Launceston, Tas 7250, Australia; Univ Tasmania, Sch Chem, ACROSS, Hobart, Tas 7001, Australia; Australian Antarctic Div, DEH, Kingston, Tas 7050, Australia</t>
  </si>
  <si>
    <t>University of Tasmania; University of Tasmania; Australian Antarctic Division</t>
  </si>
  <si>
    <t>Seen, AJ (corresponding author), Univ Tasmania, Sch Chem, Locked Bag 1371, Launceston, Tas 7250, Australia.</t>
  </si>
  <si>
    <t>A.J.Seen@utas.edu.au</t>
  </si>
  <si>
    <t>Seen, Andrew/0000-0001-7788-579X</t>
  </si>
  <si>
    <t>10.1016/j.chemosphere.2006.11.059</t>
  </si>
  <si>
    <t>WOS:000246290300010</t>
  </si>
  <si>
    <t>Mikolajewicz, U; Gröger, M; Maier-Reimer, E; Schurgers, G; Vizcaíno, M; Winguth, AME</t>
  </si>
  <si>
    <t>Mikolajewicz, Uwe; Groeger, Matthias; Maier-Reimer, Ernst; Schurgers, Guy; Vizcaino, Miren; Winguth, Arne M. E.</t>
  </si>
  <si>
    <t>Long-term effects of anthropogenic CO2 emissions simulated with a complex earth system model</t>
  </si>
  <si>
    <t>CLIMATE DYNAMICS</t>
  </si>
  <si>
    <t>GREENLAND ICE-SHEET; GENERAL-CIRCULATION MODEL; GLOBAL OCEAN CIRCULATION; NORTH-ATLANTIC; CLIMATE-CHANGE; THERMOHALINE CIRCULATION; ATMOSPHERE MODEL; COUPLED CLIMATE; HEAT-TRANSPORT; TEMPERATURE</t>
  </si>
  <si>
    <t>A new complex earth system model consisting of an atmospheric general circulation model, an ocean general circulation model, a three-dimensional ice sheet model, a marine biogeochernistry model, and a dynamic vegetation model was used to study the long-term response to anthropogenic carbon emissions. The prescribed emissions follow estimates of past emissions for the period 1751-2000 and standard IPCC emission scenarios up to the year 2100. After 2100, an exponential decrease of the emissions was assumed. For each of the scenarios, a small ensemble of simu-lations was carried out. The North Atlantic overturning collapsed in the high emission scenario (A2) simula-tions. In the low emission scenario (B1), only a temporary weakening of the deep water formation in the North Atlantic is predicted. The moderate emission scenario (A1B) brings the system close to its bifurca-tion point, with three out of five runs leading to a collapsed North Atlantic overturning circulation. The atmospheric moisture transport predominantly contributes to the collapse of the deep water formation. In the simulations with collapsed deep water formation in the North Atlantic a substantial cooling over parts of the North Atlantic is simulated. Anthropogenic climate change substantially reduces the ability of land and ocean to sequester anthropogenic carbon. The simulated effect of a collapse of the deep water formation in the North Atlantic on the atmospheric CO2 concentration turned out to be relatively small. The volume of the Greenland ice sheet is reduced, but its contribution to global mean sea level is almost counterbalanced by the growth of the Antarctic ice sheet due to enhanced snowfall. The modifications of the high latitude freshwater input due to the simulated changes in mass balance of the ice sheet are one order of magnitude smaller than the changes due to atmospheric moisture transport. After the year 3000, the global mean surface temperature is predicted to be almost constant due to the compensating effects of decreasing atmospheric CO2 concentrations due to oceanic uptake and delayed response to increasing atmospheric CO2 concentrations before.</t>
  </si>
  <si>
    <t>Max Planck Inst Meteorol, D-20146 Hamburg, Germany</t>
  </si>
  <si>
    <t>Max Planck Society</t>
  </si>
  <si>
    <t>Mikolajewicz, U (corresponding author), Max Planck Inst Meteorol, Bundesstr 55, D-20146 Hamburg, Germany.</t>
  </si>
  <si>
    <t>uwe.mikolajewicz@zmaw.de</t>
  </si>
  <si>
    <t>Gröger, Matthias/G-6758-2015; Gröger, Matthias/G-6773-2011; Vizcaino, Miren/D-4443-2013; Schurgers, Guy/K-6543-2012</t>
  </si>
  <si>
    <t>Gröger, Matthias/0000-0002-9927-5164; Schurgers, Guy/0000-0002-2189-1995</t>
  </si>
  <si>
    <t>0930-7575</t>
  </si>
  <si>
    <t>1432-0894</t>
  </si>
  <si>
    <t>CLIM DYNAM</t>
  </si>
  <si>
    <t>Clim. Dyn.</t>
  </si>
  <si>
    <t>10.1007/s00382-006-0204-y</t>
  </si>
  <si>
    <t>163IR</t>
  </si>
  <si>
    <t>WOS:000246153800003</t>
  </si>
  <si>
    <t>Hutterli, MA; Crueger, T; Fischer, H; Andersen, KK; Raible, CC; Stocker, TF; Siggaard-Andersen, ML; McConnell, JR; Bales, RC; Burkhart, JF</t>
  </si>
  <si>
    <t>Hutterli, M. A.; Crueger, T.; Fischer, H.; Andersen, K. K.; Raible, C. C.; Stocker, T. F.; Siggaard-Andersen, M. L.; McConnell, J. R.; Bales, R. C.; Burkhart, J. F.</t>
  </si>
  <si>
    <t>The influence of regional circulation patterns on wet and dry mineral dust and sea salt deposition over Greenland</t>
  </si>
  <si>
    <t>ATMOSPHERIC CIRCULATION; SPATIAL TRENDS; ANNULAR MODES; ICE-SHEET; ACCUMULATION; CLIMATE; SUMMIT; VARIABILITY; FIRN; SNOW</t>
  </si>
  <si>
    <t>Annually resolved ice core records from different regions over the Greenland ice sheet (GrIS) are used to investigate the spatial and temporal vari- ability of calcium (Ca2+, mainly from mineral dust) and sodium (Na+, mainly from sea salt) deposition. Cores of high common inter-annual variability are grouped with an EOF analysis, resulting in regionally representative Ca2+ and Na+ records for northeastern and central Greenland. Utilizing a regression and validation method with ERA-40 reanalysis data, these common records are associated with distinct regional atmospheric circulation patterns over the North American Arctic, Greenland, and Central to Northern Europe. These patterns are interpreted in terms of transport and deposition of the impurities. In the northeastern part of the GrIS sea salt records reflect the intrusion of marine air masses from southeasterly flow. A large fraction of the Ca2+, variability in this region is connected to a circulation pattern suggesting transport from the west and dry deposition. This pattern is consistent with the current understanding of a predominantly Asian source of the dust deposited over the GrIS. However, our results also indicate that a significant fraction of the inter-annual dust variability in NE and Central Greenland is determined by the frequency and intensity of wet deposition during the season of high atmospheric dust loading, rather than representing the variability of the Asian dust source and/or long-range transport to Greenland. The variances in the regional proxy records explained by the streamfunction patterns are high enough to permit reconstructions of the corresponding regional deposition regimes and the associated circulation patterns.</t>
  </si>
  <si>
    <t>British Antarctic Survey, Div Phys Sci, Cambridge CB3 0ET, England; Univ Bern, Inst Phys, CH-3012 Bern, Switzerland; Max Planck Inst Meteorol, D-20146 Hamburg, Germany; Alfred Wegener Inst Polar &amp; Marine Res, D-27568 Bremerhaven, Germany; Univ Copenhagen, Niels Bohr Inst, DK-2100 Copenhagen, Denmark; Desert Res Inst, Reno, NV 89512 USA; Univ Calif Merced, Atwater, CA 95301 USA</t>
  </si>
  <si>
    <t>UK Research &amp; Innovation (UKRI); Natural Environment Research Council (NERC); NERC British Antarctic Survey; University of Bern; Max Planck Society; Helmholtz Association; Alfred Wegener Institute, Helmholtz Centre for Polar &amp; Marine Research; University of Copenhagen; Niels Bohr Institute; Nevada System of Higher Education (NSHE); Desert Research Institute NSHE; University of California System; University of California Merced</t>
  </si>
  <si>
    <t>Hutterli, MA (corresponding author), British Antarctic Survey, Div Phys Sci, High Cross,Madingley Rd, Cambridge CB3 0ET, England.</t>
  </si>
  <si>
    <t>mahut@bas.ac.uk</t>
  </si>
  <si>
    <t>Burkhart, John/AAB-4744-2021; Stocker, Thomas F/B-1273-2013; Burkhart, John/B-7095-2008; Raible, Christoph/M-8309-2016; Fischer, Hubertus/A-1211-2014; Andersen, Katrine Krogh/B-4082-2016</t>
  </si>
  <si>
    <t>Burkhart, John/0000-0002-5587-1693; Burkhart, John/0000-0002-5587-1693; Raible, Christoph/0000-0003-0176-0602; Fischer, Hubertus/0000-0002-2787-4221; Andersen, Katrine Krogh/0000-0003-4178-2195</t>
  </si>
  <si>
    <t>10.1007/s00382-006-0211-z</t>
  </si>
  <si>
    <t>WOS:000246153800004</t>
  </si>
  <si>
    <t>Walworth, J; Pond, A; Snape, I; Rayner, J; Ferguson, S; Harvey, P</t>
  </si>
  <si>
    <t>Walworth, James; Pond, Andrew; Snape, Ian; Rayner, John; Ferguson, Susan; Harvey, Paul</t>
  </si>
  <si>
    <t>Nitrogen requirements for maximizing petroleum bioremediation in a sub-Antarctic soil</t>
  </si>
  <si>
    <t>4th International Conference on Contaminants in Freezing Ground</t>
  </si>
  <si>
    <t>MAY 30-JUN 03, 2004</t>
  </si>
  <si>
    <t>Fairbank, AK</t>
  </si>
  <si>
    <t>hydrocarbon contamination; Macquarie Island; nitrogen; fertilization; osmotic stress</t>
  </si>
  <si>
    <t>HYDROCARBON BIODEGRADATION; MICROBIAL-POPULATIONS; ARCTIC SOILS; OIL; MINERALIZATION; TEMPERATURE; ENHANCEMENT; INHIBITION; SLUDGE; WASTE</t>
  </si>
  <si>
    <t>Many contaminated cold region soils are deficient in nitrogen, and addition of the proper amount of this nutrient can increase the biodegradation rate. However, it has been demonstrated that excess nitrogen can depress the rate of microbial activity and petroleum degradation in contaminated soils due to osmotic soil water potential depression. This study was undertaken to optimize nutrient amendments in a sub-Antarctic soil. Soil collected from a petroleum-contaminated site on Macquarie Island, Australia, located in the sub-Antarctic, contained approximately 5250 mg kg(-1) of hydrocarbons and 20.9% (HO)-O-2. Inorganic nitrogen levels prior to fertilization were &lt; 1.0 mg kg(-1) of NO3-N and 1.3 mg kg(-1) of NH4-N. Inorganic nitrogen, in the form of NH4Cl, was added at rates of 0, 125, 250, 375, 500, and 625 mg nitrogen kg(-1) of dry soil. On a soil water basis (N-H2O-calculated by dividing inorganic soil nitrogen by the soil water content), applied plus native N levels were 6, 604, 1202, 1800, 2399, and 2997 mg nitrogen kg(-1) of soil water for these treatments. The soil was incubated at 6 degrees C. O-2 consumption was monitored for approximately 4 months. Maximum O-2 uptake was observed with the 125 and 250 mg nitrogen kg(-1) of soil application rates. Respiration in the 625 mg kg(-1) treatment was slightly lower than that in the untreated soil, although they were not statistically different. Respiration was maximized when N-H2O was 604 mg nitrogen kg(-1) H2O, and was depressed when it reached 1800 mg N kg(-1) H2O. Residual soil petroleum following incubation was least in soil amended with 125 mg N kg(-1) (N-H2O = 604) and was greater in unfertilized soils or in soils receiving 250 mg N kg(-1) or more (N-H2O &gt;= 1202). Thus, the rate of bioremediation was maximized when N-H2O was maintained below 1200 mg N kg(-1) soil H2O. Whereas previous studies have indicated that bioremediation in polar and sub-polar region soils are inhibited by nitrogen amendments above 2500 mg N kg(-1) H2O, results from this study indicated inhibition at a lower level of 1200 mg N kg(-1) H2O. 2006 (c) Elsevier B.V. All rights reserved.</t>
  </si>
  <si>
    <t>Univ Arizona, Dept Soil Water &amp; Environm Sci, Tucson, AZ 85721 USA; Australian Antarctic Div, Dept Environm &amp; Heritage, Kingston, Tas, Australia</t>
  </si>
  <si>
    <t>University of Arizona; Australian Antarctic Division</t>
  </si>
  <si>
    <t>Walworth, J (corresponding author), Univ Arizona, Dept Soil Water &amp; Environm Sci, Tucson, AZ 85721 USA.</t>
  </si>
  <si>
    <t>Walworth@ag.arizona.edu</t>
  </si>
  <si>
    <t>Rayner, John L/F-7633-2013</t>
  </si>
  <si>
    <t>10.1016/j.coldregions.2006.07.001</t>
  </si>
  <si>
    <t>162ZN</t>
  </si>
  <si>
    <t>WOS:000246128200003</t>
  </si>
  <si>
    <t>Northcott, KA; Woodberry, P; Snape, I; Stevens, GW</t>
  </si>
  <si>
    <t>Northcott, Kathy A.; Woodberry, Penny; Snape, Ian; Stevens, Geoff W.</t>
  </si>
  <si>
    <t>Water treatment to prevent contaminant dispersal during remediation of cold regions contaminated sites</t>
  </si>
  <si>
    <t>Fairbanks, AK</t>
  </si>
  <si>
    <t>contaminated water treatment; coagulation; ion exchange; Antarctica</t>
  </si>
  <si>
    <t>FLOCCULATION; ANTARCTICA</t>
  </si>
  <si>
    <t>Water collection and treatment is often required for effective cold regions contaminated site clean-up. Large volumes of meltwater runoff can become contaminated during remediation activities and disperse pollutants into the surrounding environment. Of particular importance for Antarctic contaminated sites is the impact of contaminant metals from polluted sites into nearby marine environments and the sensitivity of these environments. A mobile water treatment system was constructed for deployment to remote cold regions contaminated sites for use during clean-up activities. The water treatment system is designed to remove contaminants associated with particles and colloids via coagulation and settling and dissolved metals via ion exchange. This paper gives an overview of laboratory tests necessary to ensure the safe operation of the water treatment plant during the remediation of an abandoned waste disposal site in the Thala Valley near Casey station Antarctica. The results show that through a detailed understanding of the mechanisms this technology can be used to treat water to meet the required guidelines for sensitive environments. (c) 2006 Elsevier B.V. All rights reserved.</t>
  </si>
  <si>
    <t>Univ Melbourne, Particulate Fluids Proc Ctr, Dept Chem &amp; Biomol Engn, Parkville, Vic 3010, Australia; Antarctic Div, Impact Human Activities Antartica, Kingston, Tas 7050, Australia</t>
  </si>
  <si>
    <t>Stevens, GW (corresponding author), Univ Melbourne, Particulate Fluids Proc Ctr, Dept Chem &amp; Biomol Engn, Parkville, Vic 3010, Australia.</t>
  </si>
  <si>
    <t>10.1016/j.coldregions.2006.07.003</t>
  </si>
  <si>
    <t>WOS:000246128200004</t>
  </si>
  <si>
    <t>Woodberry, P; Stevens, G; Northcott, K; Snape, I; Stark, S</t>
  </si>
  <si>
    <t>Woodberry, Penny; Stevens, Geoff; Northcott, Kathy; Snape, Ian; Stark, Scott</t>
  </si>
  <si>
    <t>Field trial of ion-exchange resin columns for removal of metal contaminants, Thala Valley Tip, Casey Station, Antarctica</t>
  </si>
  <si>
    <t>Antarctica; ion-exchange resin; water treatment; metal contaminants</t>
  </si>
  <si>
    <t>SOLID-PHASE EXTRACTION; TRACE-METALS; PRECONCENTRATION; SPECTROMETRY; SEAWATER; WATER</t>
  </si>
  <si>
    <t>A field trial for removal of dissolved metal contaminants in water from an abandoned waste disposal site, using ion-exchange columns of an iminodiacetic acid chelating ion-exchange (IDA) resin, was conducted at Casey Station, Antarctica. An on-site monitoring technique, employing 3M Empore chelating disks for preconcentration for analysis by atomic absorption spectrometry (AAS), was also trialled for measurement of dissolved metal concentration in the treated water. The field trial indicated that the ion-exchange columns of Amberlite IRC748 were suitable for the application, with concentrations of contaminant metals in treated waters successfully reduced. The observed order of selectivity for contaminant metals was markedly different to that observed in previous laboratory tests; the presence of organic ligands and colloidal iron in the natural waters on-site interfered with the retention of Cu and Fe, reducing selectivity for these metals. The on-site monitoring technique was considered capable of producing results of sufficient accuracy and reproducibility to identify that the ion-exchange columns were effectively reducing metal contaminant concentrations, and to identify breakthrough of the ion-exchange columns. Concentrations of Cd, Ni and Zn corresponded well with the dissolved metal fraction measured by ICP-MS, although Pb analysis was less precise. However, interference from organic ligands and colloids probably caused underestimation in the measurement of these metals. The on-site monitoring technique was useful for providing rapid feedback during clean-up at this remote site. However, the interferences would require careful evaluation in order to relate the measurements to water quality standards or objectives. (c) 2006 Elsevier B.V. All rights reserved.</t>
  </si>
  <si>
    <t>Univ Melbourne, Particulate Fluids Proc Ctr, Dept Chem &amp; Biomol Engn, Melbourne, Vic, Australia; Australian Antarctic Div, Hobart, Tas, Australia</t>
  </si>
  <si>
    <t>University of Melbourne; Melbourne Bioinformatics; Australian Antarctic Division</t>
  </si>
  <si>
    <t>Stevens, G (corresponding author), Univ Melbourne, Particulate Fluids Proc Ctr, Dept Chem &amp; Biomol Engn, Melbourne, Vic, Australia.</t>
  </si>
  <si>
    <t>10.1016/j.coldregions.2006.08.001</t>
  </si>
  <si>
    <t>WOS:000246128200005</t>
  </si>
  <si>
    <t>Rayner, JL; Snape, I; Walworth, JL; Harvey, PM; Ferguson, SH</t>
  </si>
  <si>
    <t>Rayner, John L.; Snape, Ian; Walworth, James L.; Harvey, Paul McA.; Ferguson, Susan H.</t>
  </si>
  <si>
    <t>Petroleum-hydrocarbon contamination and remediation by microbioventing at sub-Antarctic Macquarie Island</t>
  </si>
  <si>
    <t>petroleum hydrocarbons; air sparging; bioremediation; sub-Antarctic; tundra</t>
  </si>
  <si>
    <t>ORGANIC-MATTER; FUEL SPILLS; BIODEGRADATION; SOIL; MINERALIZATION; TEMPERATURE; EVAPORATION; SEDIMENTS</t>
  </si>
  <si>
    <t>Natural attenuation of petroleum hydrocarbons in polar and subpolar soils is limited by low nutrients, low temperatures, and water availability. This study investigated three sites contaminated with diesel fuel and the use of aeration to remediate one of the sites at sub-Antarctic Macquarie Island. These sites were of differing ages and had different soil-water regimes. The most recent spill (New Main Power House) occurred in 2002 and resulted in similar to 180 metric tons of highly-contaminated (similar to 7000 mg kg(-1)), moderately-drained, sandy soil. An older site (&lt; 1994; Old Main Power House) comprised similar to 100 metric tons of moderately-contaminated (similar to 2800 mg kg(-1)) water-saturated peaty soil. A third spill (&lt; 1994; Fuel Farm) contained approximately 600 degrees metric tons of low- to moderately-contaminated (similar to 800 mg kg(-1)) sandy soil. Using a hydrocarbon distribution model (NAPLANAL) we determined that non-aqueous phase liquid droplets start to form in these soils at concentrations 50-1000 mg kg(-1) mostly depending on organic carbon fraction. An in-field treatability evaluation with an air sparge port to increase oxygen concentration in the soils proved unsuccessful because the shallow water table and thin soil cover led to channel development. However, an easily-installed 'microbioventing' system, comprising many small air injecting rods, successfully aerated a wide area of soil. Field estimates of biodegradation rates under unamended aerobic conditions were similar to 10-20 mg kg(-1) d(-1). When considered with results from a nutrient optimisation respiration experiment [Walworth, J., Pond, A., Snape, I., Rayner, J.L. and Harvey, P.M., 2007-this issue. Nitrogen requirements for maximizing petroleum bioremediation in a sub-Antarctic soil. Cold Regions Science and Technology, In Press.], we conclude that in situ bioremediation for these sites should treat the soil to a target concentration of similar to 200 mg kg(-1) in approximately 1-2 years of continual operation at ambient temperatures. This simple methodology could have useful application in the summer treatment of other waterlogged tundra soils. (c) 2007 Published by Elsevier B.V.</t>
  </si>
  <si>
    <t>Australian Govt Antartic Div, Environm Protect &amp; Change Program, Kingston, Tas, Australia; Univ Arizona, Dept Soil Water &amp; Environm Sci, Tucson, AZ 85721 USA</t>
  </si>
  <si>
    <t>University of Arizona</t>
  </si>
  <si>
    <t>Rayner, JL (corresponding author), Australian Govt Antartic Div, Environm Protect &amp; Change Program, Channel Highway, Kingston, Tas, Australia.</t>
  </si>
  <si>
    <t>john.rayner@aad.gov.au</t>
  </si>
  <si>
    <t>10.1016/j.coldregions.2006.11.001</t>
  </si>
  <si>
    <t>WOS:000246128200008</t>
  </si>
  <si>
    <t>Revill, AT; Snape, I; Lucieer, A; Guille, D</t>
  </si>
  <si>
    <t>Revill, Andrew T.; Snape, Ian; Lucieer, Arko; Guille, Daniel</t>
  </si>
  <si>
    <t>Constraints on transport and weathering of petroleum contamination at Casey Station, Antarctica</t>
  </si>
  <si>
    <t>Antarctica; Casey; hydrocarbons; weathering; GIS</t>
  </si>
  <si>
    <t>VESTFOLD HILLS; HYDROCARBONS; SOILS; MINERALIZATION; BIOREMEDIATION; SPILLS; WATER; FUEL</t>
  </si>
  <si>
    <t>There is a common perception that terrestrial fuel spills in Antarctica are long lived and that plumes naturally degrade very slowly. However, previous studies have isolated hydrocarbon degrading microbes from many Antarctic soils and biodegradation has been documented at low temperatures in the laboratory. A detailed study of an old fuel spill at Casey Station, Antarctica, indicates that fuel has migrated down a small catchment into the marine environment. By integrating chemical signatures indicative of evaporation and biodegradation with environmental parameters it is possible to correlate natural attenuation and dispersal of the spill within the catchment. GIS terrain modelling techniques are used to explore the spatial patterns of biodegradation and evaporation in relation to slope, solar radiation, surface wetness, and landform properties. (c) 2007 Elsevier B.V. All rights reserved.</t>
  </si>
  <si>
    <t>CSIRO, Marine Res, Hobart, Tas 7001, Australia; Antartic Cooperat Res Ctr, Hobart, Tas 7005, Australia; Australian Antarctic Div, Human Impacts Res, Kingston, Tas 7050, Australia; Univ Tasmania, Sch Geog &amp; Environm Studies, Ctr Spatial Informat Sci, Hobart, Tas 7001, Australia</t>
  </si>
  <si>
    <t>Commonwealth Scientific &amp; Industrial Research Organisation (CSIRO); Australian Antarctic Division; University of Tasmania</t>
  </si>
  <si>
    <t>Revill, AT (corresponding author), CSIRO, Marine Res, GPO Box 1538, Hobart, Tas 7001, Australia.</t>
  </si>
  <si>
    <t>Andy.Revill@csiro.au; ian.snape@aad.gov.au; Arko.Lucieer@utas.du.au</t>
  </si>
  <si>
    <t>Lucieer, Arko/F-1247-2013; Revill, Andrew/B-8733-2011</t>
  </si>
  <si>
    <t>Lucieer, Arko/0000-0002-9468-4516; Revill, Andrew/0000-0003-2486-5976</t>
  </si>
  <si>
    <t>10.1016/j.coldregions.2007.01.001</t>
  </si>
  <si>
    <t>WOS:000246128200009</t>
  </si>
  <si>
    <t>Hare, CE; DiTullio, GR; Riseman, SF; Crossley, AC; Popels, LC; Sedwick, PN; Hutchins, DA</t>
  </si>
  <si>
    <t>Hare, C. E.; DiTullio, G. R.; Riseman, S. F.; Crossley, A. C.; Popels, L. C.; Sedwick, P. N.; Hutchins, D. A.</t>
  </si>
  <si>
    <t>Effects of changing continuous iron input rates on a Southern Ocean algal assemblage</t>
  </si>
  <si>
    <t>continuous culture; ecostat; Southern Ocean; Southern Antarctic Zone; phytoplankton community structure; iron limitation</t>
  </si>
  <si>
    <t>ANTARCTIC CIRCUMPOLAR CURRENT; RELEASE EXPERIMENT SOIREE; C-N-P; COMMUNITY STRUCTURE; MARINE DIATOMS; PHYTOPLANKTON GROWTH; EQUATORIAL PACIFIC; UPWELLING REGIME; CHEMICAL COMPOSITION; PRIMARY PRODUCTIVITY</t>
  </si>
  <si>
    <t>The upwelling of nutrients and iron (Fe) sustains biological production in much of the Southern Ocean. Using a shipboard natural community continuous culture system (Ecostat), we supplied a single added Fe concentration at two dilution rates chosen to examine the effects of variations in realistic growth and loss rates on an Fe-limited algal community in the Antarctic Zone south of Australia. A parallel growout experiment provided no-dilution + Fe and -Fe controls. In the continuous flow experiment, phytoplankton biomass was lower and more constant throughout the incubation and major nutrients were never depleted. Nanophytoplankton abundance remained similar in both growout treatments, and therefore, growth of this group did not appear to be Fe-limited. The addition of Fe in a continuous fashion resulted in a community co-dominated by both small diatoms and nanophytoplankton. Increases in dilution rate favored diatom species that were smaller and faster-growing, as well as non-silicified algal groups. Particulate carbon (PC) to particulate nitrogen (PN) ratios increased above the Redfield ratio when Fe was added in a continuous fashion, while biogenic silica (BSi) to PC and PN ratios decreased 2-3 fold in the continuous flow experiment compared to the initial conditions and the parallel growout control experiment. Photosynthetic efficiency increased in the continuous flow treatments above the control but remained significantly lower than in the 1.4 nM Fe addition. The results of our shipboard continuous flow experiments are compared and contrasted with those of the mesoscale Southern Ocean Iron RElease Experiment (SOIREE) carried out at the same site. Our results suggest that increases in natural dilution rates (i.e. vertical turbulent diffusion) in polar Antarctic waters could shift the algal community towards smaller, faster-growing algal species, thus having a major effect on nutrient cycling and carbon export in the Southern Ocean. (c) 2007 Elsevier Ltd. All rights reserved.</t>
  </si>
  <si>
    <t>Univ So Calif, Dept Biol Sci, Los Angeles, CA 90089 USA; Univ Charleston, Hollings Marine Lab, Charleston, SC 29412 USA; Univ Tasmania, Inst Antarctic &amp; So Ocean Studies, Hobart, Tas 7001, Australia; Bermuda Inst Ocean Sci, St Georges GE01, Bermuda; Univ Delaware, Coll Marine &amp; Earth Studies, Lewes, DE 19958 USA</t>
  </si>
  <si>
    <t>University of Southern California; College of Charleston; University of Tasmania; Bermuda Institute of Ocean Sciences; University of Delaware</t>
  </si>
  <si>
    <t>Hutchins, DA (corresponding author), Univ So Calif, Dept Biol Sci, 3616 Trousdale Pkwy, Los Angeles, CA 90089 USA.</t>
  </si>
  <si>
    <t>dahutch@use.edu</t>
  </si>
  <si>
    <t>Hutchins, David A/D-3301-2013</t>
  </si>
  <si>
    <t>Hutchins, David A/0000-0002-6637-756X; Sedwick, Peter/0000-0003-0663-8323</t>
  </si>
  <si>
    <t>10.1016/j.dsr.2007.02.001</t>
  </si>
  <si>
    <t>175MK</t>
  </si>
  <si>
    <t>WOS:000247017500003</t>
  </si>
  <si>
    <t>Lance, VP; Hiscock, MR; Hilting, AK; Stuebe, DA; Bidigare, RR; Smith, WO; Barber, RT</t>
  </si>
  <si>
    <t>Lance, V. P.; Hiscock, M. R.; Hilting, A. K.; Stuebe, D. A.; Bidigare, R. R.; Smith, W. O., Jr.; Barber, R. T.</t>
  </si>
  <si>
    <t>Primary productivity, differential size fraction and pigment composition responses in two Southern Ocean in situ iron enrichments</t>
  </si>
  <si>
    <t>primary production; chlorophylls; phytoplankton; iron; photosynthetic pigments; carotenoids; photoperiod; Southern Ocean; SOFeX</t>
  </si>
  <si>
    <t>ATMOSPHERIC CARBON-DIOXIDE; SUB-ARCTIC PACIFIC; POLAR FRONTAL ZONE; PHYTOPLANKTON BLOOM; EQUATORIAL PACIFIC; CHLOROPHYLL-A; COMMUNITY STRUCTURE; EXPERIMENT SOFEX; SILICIC-ACID; SEA-ICE</t>
  </si>
  <si>
    <t>Two in situ iron-enrichment experiments were conducted in the Pacific sector of the Southern Ocean during summer 2002 (SOFeX). The north patch, established within the Subantarctic Zone (similar to 56 degrees S), was characterized by high nitrate (similar to 21 mmol m(-3)) but low silicic acid (2mmol m(-3)) concentrations. North patch iron enrichment increased chlorophyll (Chl) by 12-fold to 2.1 mg m(-3) and primary productivity (PPEu) by 8-fold to 188mmol C m(-2) d(-1). Surprisingly, despite low silicic acid concentrations, diagnostic pigment and size-fraction composition changes indicated an assemblage shift from prymnesiophytes toward diatoms. The south patch, poleward of the Southern Boundary of the Antarctic Circumpolar Current (SBACC) (similar to 66 degrees S), had high concentrations of nitrate (similar to 27 mmol m(-3)) and silicic acid (64 mmol m(-3)). South patch iron enrichment increased Chl by 9-fold to 3.8mgm(-3) and PPEU 5-fold to 161 mmol C m(-2) d(-1) but, notably, did not alter the phytoplankton assemblage from the initial composition of -50% diatoms. South patch iron addition also reduced total particulate organic carbon:Chl from similar to 300 to 100; enhanced the presence of novel non-photosynthetic, but fluorescent, compounds; and counteracted a decrease in photosynthetic performance as photoperiod decreased. These experiments show unambiguously that in the contemporary, high nitrate Southern Ocean increasing iron supply increases primary productivity, confirming the initial premise of the Martin Iron Hypothesis. However, despite a 5-fold increase in PPEU under iron-replete conditions in late summer, the effect of iron on annual productivity in the Southern Ocean poleward of the SBACC is limited by seasonal ice coverage and the dark of polar winter. (c) 2007 Elsevier Ltd. All rights reserved.</t>
  </si>
  <si>
    <t>Duke Univ, Nicholas Sch Environm &amp; Earth Sci, Beaufort, NC 28516 USA; Univ Hawaii Manoa, Dept Oceanog, Honolulu, HI 96822 USA; Coll William &amp; Mary, Virginia Inst Marine Sci, Gloucester Point, VA 23062 USA</t>
  </si>
  <si>
    <t>Duke University; University of Hawaii System; University of Hawaii Manoa; William &amp; Mary; Virginia Institute of Marine Science</t>
  </si>
  <si>
    <t>Lance, VP (corresponding author), Duke Univ, Nicholas Sch Environm &amp; Earth Sci, 135 Duke Marine Lab Rd, Beaufort, NC 28516 USA.</t>
  </si>
  <si>
    <t>vplance@duke.edu</t>
  </si>
  <si>
    <t>10.1016/j.dsr.2007.02.008</t>
  </si>
  <si>
    <t>WOS:000247017500004</t>
  </si>
  <si>
    <t>Thorpe, SE; Murphy, EJ; Watkins, JL</t>
  </si>
  <si>
    <t>Thorpe, S. E.; Murphy, E. J.; Watkins, J. L.</t>
  </si>
  <si>
    <t>Circumpolar connections between Antarctic krill (Euphausia superba Dana) populations:: Investigating the roles of ocean and sea ice transport</t>
  </si>
  <si>
    <t>Antarctic krill; ecosystems; ocean circulation; sea ice; life cycle; variability; Southern Ocean</t>
  </si>
  <si>
    <t>SOUTH-GEORGIA; SCOTIA SEA; INTERANNUAL VARIABILITY; CURRENT FRONT; CALANUS-FINMARCHICUS; ELEPHANT ISLAND; WEDDELL SEA; DYNAMICS; ABUNDANCE; ATLANTIC</t>
  </si>
  <si>
    <t>Antarctic krill, Euphausia superba Dana, has a heterogeneous circumpolar distribution in the Southern Ocean. Krill have a close association with sea ice which provides access to a critical food source and shelter, particularly in the early life stages. Advective modelling of transport pathways of krill have until now been on regional scales and have not taken explicit account of sea ice. Here we present Lagrangian modelling studies at the circumpolar scale that include interaction with sea ice. The advection scheme uses ocean velocity output from the Ocean Circulation and Climate Advanced Modelling (OCCAM) project model together with satellite-derived sea ice motion vectors to examine the potential roles of the ocean and sea ice in maintaining the observed circumpolar krill distribution. We show that the Antarctic Coastal Current is likely to be important in generating the large-scale distribution and that sea ice motion can substantially modify the ocean transport pathways, enhancing retention or dispersal depending upon location. Within the major krill region of the Scotia Sea, the effect of temporal variability in both the ocean and sea ice velocity fields is examined. Variability in sea ice motion increases variability of influx to South Georgia, at times concentrating the influx into pulses of arrival. This variability has implications for the ecosystem around the island. The inclusion of sea ice motion leads to the identification of source regions for the South Georgia krill populations additional to those identified when only ocean motion is considered. This study indicates that the circumpolar oceanic circulation and interaction with sea ice is important in determining the large-scale distribution of krill and its associated variability. (c) 2007 Elsevier Ltd. All rights reserved.</t>
  </si>
  <si>
    <t>Thorpe, SE (corresponding author), British Antarctic Survey, NERC, High Cross,Madingley Rd, Cambridge CB3 0ET, England.</t>
  </si>
  <si>
    <t>seth@bas.ac.uk</t>
  </si>
  <si>
    <t>murphy, eugene/GZL-1620-2022</t>
  </si>
  <si>
    <t>Thorpe, Sally/0000-0002-5193-6955</t>
  </si>
  <si>
    <t>10.1016/j.dsr.2007.01.008</t>
  </si>
  <si>
    <t>WOS:000247017500006</t>
  </si>
  <si>
    <t>Fernandes, LF; Procopiak, LK; Portinho, D</t>
  </si>
  <si>
    <t>Fernandes, Luciano Felicio; Procopiak, Leticia Knechtel; Portinho, Danielle</t>
  </si>
  <si>
    <t>Brandinia mosimanniae gen. nov et sp nov., a new marine epilithic diatom from the Antarctic coasts</t>
  </si>
  <si>
    <t>DIATOM RESEARCH</t>
  </si>
  <si>
    <t>The new solitary species Brandinia mosimanniae L. F. Fernandes &amp; L. K. Procopiak is described for Antarctic Peninsula, living oil rocks from intertidal to 14m depth sublittoral. Its main features are lanceolate valves with rostrate to capitate apices, narrow sternum but expanded at the centre, two Conspicuous rimoportulae, one per apex, uniseriate striae composed of areolae bearing peg-like volate occlusions and cingulum with open bands. Comparisons with allied species such as the colonial Fragilaria striatula Lyngbye and the related genera Fossula, Synedropsis and Ulnaria are made. B. mosimanniae was a common to abundant diatom within epilithic communities in all of the samples examined.</t>
  </si>
  <si>
    <t>Univ Fed Parana, Dept Bot, Setor Ciencias Biol, Ctr Politecn, BR-81531990 Curitiba, Parana, Brazil</t>
  </si>
  <si>
    <t>Fernandes, LF (corresponding author), Univ Fed Parana, Dept Bot, Setor Ciencias Biol, Ctr Politecn, Caixa Postal 19031,Jardim Amer, BR-81531990 Curitiba, Parana, Brazil.</t>
  </si>
  <si>
    <t>lff@ufpr.br</t>
  </si>
  <si>
    <t>Portinho, Danielle/A-9757-2014; Fernandes, Luciano F/J-9907-2013</t>
  </si>
  <si>
    <t>0269-249X</t>
  </si>
  <si>
    <t>2159-8347</t>
  </si>
  <si>
    <t>DIATOM RES</t>
  </si>
  <si>
    <t>Diatom Res.</t>
  </si>
  <si>
    <t>171TM</t>
  </si>
  <si>
    <t>WOS:000246758300004</t>
  </si>
  <si>
    <t>Schafer, AN; Snape, I; Siciliano, SD</t>
  </si>
  <si>
    <t>Schafer, Alexis Nadine; Snape, Ian; Siciliano, Steven Douglas</t>
  </si>
  <si>
    <t>Soil biogeochemical toxicity end points for sub-Antarctic islands contaminated with petroleum hydrocarbons</t>
  </si>
  <si>
    <t>ENVIRONMENTAL TOXICOLOGY AND CHEMISTRY</t>
  </si>
  <si>
    <t>ecotoxicology; nitrification; denitrification; soil respiration; polar regions</t>
  </si>
  <si>
    <t>AMMONIA MONOOXYGENASE; NITROSOMONAS-EUROPAEA; NITRIFICATION; FIELD; DENITRIFICATION; INHIBITION; NITRITE; 2,4,6-TRINITROTOLUENE; REDUCTION; TOLERANCE</t>
  </si>
  <si>
    <t>Sub-Antarctic islands have been subjected to petroleum hydrocarbon spills, yet no information is available regarding the toxicity of petroleum hydrocarbons to these subpolar soils. The purpose of the present study was to identify soil biogeochemical toxicity end points for petroleum hydrocarbon contamination in sub-Antarctic soil. Soil from Macquarie Island, a sub-Antarctic island south of Australia, was collected and exposed to 10 concentrations of Special Antarctic Blend (SAB) diesel fuel, ranging from 0 to 50,000 mg fuel/kg soil, for a 21-d period. The sensitivity of nitrification, denitrification, carbohydrate utilization, and total soil respiration to SAB fuel was assessed. Potential nitrification activity was the most sensitive indicator of SAB contamination assessed for nitrogen cycling, with an IC20 (concentration that results in a 20% change from the control response) of 190 mg fuel/kg soil. Potential denitrification activity was not as sensitive to SAB contamination, with an IC20 of 950 mg fuel/kg soil for nitrous oxide production. Nitrous oxide consumption was unaffected by SAB contamination. Carbohydrate utilization (respiration caused by sucrose) was a more sensitive indicator (IC20, 16 mg fuel/kg soil) of SAB contamination than total respiration (IC20, 220 mg fuel/kg soil). However, total soil respiration was a more responsive measurement end point, increasing soil respiration over a 72-h period by 17 mg of CO2, compared to a change of only 2.1 mg of CO2 for carbohydrate utilization. Our results indicate that IC20s varied between 16 to 950 mg fuel/kg soil for Macquarie Island soil spiked with SAB diesel fuel. These results indicate that current cleanup levels derived from temperate zones may be too liberal for soil contamination in sub-Antarctic islands.</t>
  </si>
  <si>
    <t>Univ Saskatchewan, Dept Soil Sci, Saskatoon, SK S7N 5A8, Canada; Univ Saskatchewan, Toxicol Grp, Saskatoon, SK S7N 5B3, Canada; Australian Govt Antarctic Div, Environm Protect &amp; Change Program, Kingston, Tas 7050, Australia</t>
  </si>
  <si>
    <t>University of Saskatchewan; University of Saskatchewan; Australian Antarctic Division</t>
  </si>
  <si>
    <t>Siciliano, SD (corresponding author), Univ Saskatchewan, Dept Soil Sci, 51 Campus Dr, Saskatoon, SK S7N 5A8, Canada.</t>
  </si>
  <si>
    <t>Siciliano, Steven D/G-3370-2011</t>
  </si>
  <si>
    <t>Siciliano, Steven/0000-0002-8994-3341</t>
  </si>
  <si>
    <t>0730-7268</t>
  </si>
  <si>
    <t>1552-8618</t>
  </si>
  <si>
    <t>ENVIRON TOXICOL CHEM</t>
  </si>
  <si>
    <t>Environ. Toxicol. Chem.</t>
  </si>
  <si>
    <t>10.1897/06-420R.1</t>
  </si>
  <si>
    <t>Environmental Sciences; Toxicology</t>
  </si>
  <si>
    <t>Environmental Sciences &amp; Ecology; Toxicology</t>
  </si>
  <si>
    <t>157VM</t>
  </si>
  <si>
    <t>WOS:000245749500009</t>
  </si>
  <si>
    <t>Willis, J</t>
  </si>
  <si>
    <t>Willis, Jay</t>
  </si>
  <si>
    <t>Could whales have maintained a high abundance of krill?</t>
  </si>
  <si>
    <t>EVOLUTIONARY ECOLOGY RESEARCH</t>
  </si>
  <si>
    <t>computer model; IBM; regime change</t>
  </si>
  <si>
    <t>ANTARCTIC KRILL; EUPHAUSIA-SUPERBA; SOUTHERN-OCEAN; BLUE WHALE; PREDATORS; BEHAVIOR; ZOOPLANKTON; RECRUITMENT; ECOSYSTEM; GROWTH</t>
  </si>
  <si>
    <t>Question: Several million large whales were killed between 1900 and 1970. All these whales preyed on krill (Euphausia superba). Why has krill population abundance declined after the elimination of their primary predator? Hypothesis: Krill have changed their behaviour due to the absence of whales and this change in behaviour has resulted in a decrease in krill abundance. Methods: I reproduced a computer model of krill life history. I then extended the model as an individual-based model to show the effects of habitat choice on individual lifetime reproductive success and abundance. Conclusions: In the context of our current understanding of krill physiology, predator-invoked behaviour may lead to increased population abundance and, without the predator, natural selection may favour behaviour that would lead to lower abundance. This reverses the predictions of mass balance ecosystem models.</t>
  </si>
  <si>
    <t>Univ Tasmania, Sch Zool, QMS Program, Hobart, Tas 7001, Australia; CSIRO, CMAR, Hobart, Tas 7001, Australia</t>
  </si>
  <si>
    <t>University of Tasmania; Commonwealth Scientific &amp; Industrial Research Organisation (CSIRO)</t>
  </si>
  <si>
    <t>Willis, J (corresponding author), Univ Tasmania, Sch Zool, QMS Program, Hobart, Tas 7001, Australia.</t>
  </si>
  <si>
    <t>jay.willis@csiro.au</t>
  </si>
  <si>
    <t>Willis, Jay/0000-0003-0701-7262</t>
  </si>
  <si>
    <t>EVOLUTIONARY ECOLOGY LTD</t>
  </si>
  <si>
    <t>TUCSON</t>
  </si>
  <si>
    <t>UNIV ARIZONA, 321 BIOSCIENCES WEST, TUCSON, AZ 85721 USA</t>
  </si>
  <si>
    <t>1522-0613</t>
  </si>
  <si>
    <t>EVOL ECOL RES</t>
  </si>
  <si>
    <t>Evol. Ecol. Res.</t>
  </si>
  <si>
    <t>Ecology; Evolutionary Biology; Genetics &amp; Heredity</t>
  </si>
  <si>
    <t>Environmental Sciences &amp; Ecology; Evolutionary Biology; Genetics &amp; Heredity</t>
  </si>
  <si>
    <t>181LA</t>
  </si>
  <si>
    <t>WOS:000247437000006</t>
  </si>
  <si>
    <t>Olivera, NL; Sequeiros, C; Nievas, ML</t>
  </si>
  <si>
    <t>Olivera, Nelda L.; Sequeiros, Cynthia; Nievas, Marina L.</t>
  </si>
  <si>
    <t>Diversity and enzyme properties of protease-producing bacteria isolated from sub-Antarctic sediments of Isla de Los Estados, Argentina</t>
  </si>
  <si>
    <t>EXTREMOPHILES</t>
  </si>
  <si>
    <t>sub-Antarctic; cold-active proteases; thermostability; psychrophiles; psychrotolerants</t>
  </si>
  <si>
    <t>PSYCHROPHILIC ENZYMES; CULTURABLE BACTERIA; SP NOV.; COLD; STRAIN; PURIFICATION; SEQUENCE; ALIGNMENT; PATAGONIA</t>
  </si>
  <si>
    <t>Protease-producing bacteria isolated from sub-Antarctic marine sediments of Isla de Los Estados (Argentina) were characterized, and the thermal inactivation kinetics of their extracellular proteases compared. Isolates were affiliated with the genera Pseudoalteromonas, Shewanella, Colwellia, Planococcus, and a strain to the family Flavobacteriaceae. Colwellia strains were moderate psychrophiles (optimal growth at about 15 degrees C, maximum growth temperature at around 25 degrees C). 16S rRNA phylogenetic analysis revealed that these strains and Colwellia aestuarii form a distinct lineage within the genus. The remaining isolates were psychrotolerant and grew optimally between 20 and 25 degrees C; two of them represent potentially novel species or genus (16S rRNA &lt; 97% sequence similarity). The thermostability of the extracellular proteases produced by the isolates was analysed, and the inactivation rate constant (k(in)), the activation energy (Ea(in)) and the activation Gibbs free energy of thermal inactivation (Delta G(in)(*)) determined. G*(in), calculated at 30 degrees C, varied between 97 and 124 kJ/mol. Colwellia enzyme extracts presented the highest thermosensitivity, while the most thermostable protease activity was shown by Shewanella spp. These results demonstrated that the stability to temperature of these enzymes varies considerably among the isolates, suggesting important variations in the thermal properties of the proteases that can coexist in this environment.</t>
  </si>
  <si>
    <t>Consejo Nacl Invest Cient &amp; Tecn, Ctr Nacl Patagonico, CENPAT, RA-9120 Chubut, Argentina; Univ Nacl La Patagonia San Juan Bosco, Chubut, Argentina</t>
  </si>
  <si>
    <t>Centro Nacional Patagonico (CENPAT); Consejo Nacional de Investigaciones Cientificas y Tecnicas (CONICET)</t>
  </si>
  <si>
    <t>Olivera, NL (corresponding author), Consejo Nacl Invest Cient &amp; Tecn, Ctr Nacl Patagonico, CENPAT, Blvd Brown S-N, RA-9120 Chubut, Argentina.</t>
  </si>
  <si>
    <t>olivera@cenpat.edu.ar</t>
  </si>
  <si>
    <t>SPRINGER JAPAN KK</t>
  </si>
  <si>
    <t>TOKYO</t>
  </si>
  <si>
    <t>SHIROYAMA TRUST TOWER 5F, 4-3-1 TORANOMON, MINATO-KU, TOKYO, 105-6005, JAPAN</t>
  </si>
  <si>
    <t>1431-0651</t>
  </si>
  <si>
    <t>1433-4909</t>
  </si>
  <si>
    <t>Extremophiles</t>
  </si>
  <si>
    <t>10.1007/s00792-007-0064-3</t>
  </si>
  <si>
    <t>Biochemistry &amp; Molecular Biology; Microbiology</t>
  </si>
  <si>
    <t>166BY</t>
  </si>
  <si>
    <t>WOS:000246353300011</t>
  </si>
  <si>
    <t>Williams, AJ; Mapstone, BD; Davies, CR</t>
  </si>
  <si>
    <t>Williams, A. J.; Mapstone, B. D.; Davies, C. R.</t>
  </si>
  <si>
    <t>Spatial patterns in cohort-specific mortality of red throat emperor, Lethrinus miniatus, on the Great Barrier Reef</t>
  </si>
  <si>
    <t>FISHERIES RESEARCH</t>
  </si>
  <si>
    <t>cohort-specific mortality; natural mortality; spatial variation; red throat emperor; Lethrinidae</t>
  </si>
  <si>
    <t>COD GADUS-MORHUA; PLECTROPOMUS LEOPARDUS; NATURAL MORTALITY; CORAL TROUT; FISH; POPULATION; RECRUITMENT; AGE; CATCHABILITY; DEMOGRAPHY</t>
  </si>
  <si>
    <t>Rates of mortality were estimated for individual cohorts of red throat emperor, Lethrinus miniatus, over a 5-year period (1995-1999) by using fisheries independent catch rates as a measure of abundance. Estimates of mortality were considered to be close approximations of natural mortality (M) as all reefs sampled had been no-take areas for at least 10 years prior to sampling. Cohort-specific mortality rates were compared between individual reefs within the Townsville, Mackay and Storm Cay regions of the Great Barrier Reef (GBR) and between these regions. Mortality rates were found to be similar between cohorts and between individual reefs within each region but varied substantially between regions. Mortality rates were significantly and consistently higher in the Mackay region than in the Townsville and Storm Cay regions. These spatial patterns have important implications for fisheries sustainability as populations with lower rates of natural mortality may be more vulnerable to over-exploitation than populations with higher rates of natural mortality. Consequently, L. miniatus populations in the Townsville region may be more at risk of over-fishing than populations in the Mackay and Storm Cay regions. The observed regional differences in structure and dynamics of L. miniatus populations needs to be incorporated into fisheries stock assessments for this species if model outputs are to be reliable, and management is to be optimised. (c) 2006 Elsevier B.V. All rights reserved.</t>
  </si>
  <si>
    <t>James Cook Univ N Queensland, Sch Earth &amp; Environm Sci, Townsville, Qld 4811, Australia; Antarctic Climate &amp; Ecosyst CRC, Hobart, Tas 7001, Australia; CSIRO, Marine &amp; Atmospher Res, Hobart, Tas 7001, Australia</t>
  </si>
  <si>
    <t>James Cook University; University of Tasmania; Commonwealth Scientific &amp; Industrial Research Organisation (CSIRO)</t>
  </si>
  <si>
    <t>Williams, AJ (corresponding author), James Cook Univ N Queensland, Sch Earth &amp; Environm Sci, Townsville, Qld 4811, Australia.</t>
  </si>
  <si>
    <t>ashley.williams@jcu.edu.au</t>
  </si>
  <si>
    <t>Williams, Ashley/G-2017-2014; Davies, Campbell R/N-8086-2013; Williams, Ashley/ABA-5921-2020; Williams, Ashley J/J-7565-2013; Williams, Ashley/JAX-9689-2023</t>
  </si>
  <si>
    <t>Williams, Ashley/0000-0002-5530-0073; Williams, Ashley/0000-0002-5530-0073;</t>
  </si>
  <si>
    <t>0165-7836</t>
  </si>
  <si>
    <t>1872-6763</t>
  </si>
  <si>
    <t>FISH RES</t>
  </si>
  <si>
    <t>Fish Res.</t>
  </si>
  <si>
    <t>10.1016/j.fishres.2006.11.024</t>
  </si>
  <si>
    <t>158VS</t>
  </si>
  <si>
    <t>WOS:000245823800006</t>
  </si>
  <si>
    <t>Pisano, E; Coscia, MR; Mazzei, F; Ghigliotti, L; Coutanceau, JP; Ozouf-Costaz, C; Oreste, U</t>
  </si>
  <si>
    <t>Pisano, Eva; Coscia, Maria Rosaria; Mazzei, Federico; Ghigliotti, Laura; Coutanceau, Jean-Pierre; Ozouf-Costaz, Catherine; Oreste, Umberto</t>
  </si>
  <si>
    <t>Cytogenetic mapping of immunoglobulin heavy chain genes in Antarctic fish</t>
  </si>
  <si>
    <t>GENETICA</t>
  </si>
  <si>
    <t>Antarctic fish; chromosomes; FISH; cytogenetic mapping; IgH locus; Trematomus</t>
  </si>
  <si>
    <t>MITOCHONDRIAL PHYLOGENY; ATLANTIC SALMON; EVOLUTION; NOTOTHENIOIDEI; PERCIFORMES; REPERTOIRE; DIVERSITY; DISCOVERY; TELEOSTS</t>
  </si>
  <si>
    <t>The chromosomal location of the IgH locus has been analyzed in several bony fish of the Antarctic perciform group Notothenioidei. Two IgH probes were prepared from the species Trematomus bernacchii (family Nototheniidae, tribe Trematominae) and mapped onto the chromosomes of ten species belonging to the same genus (Trematomus) and in two outgroups, through one-color and two-color FISH. A single location of the IgH locus was found in the majority of the species examined, including the outgroups, whereas in four of them the IgH genes splited to two chromosomal loci. RT-PCR experiments revealed the presence of three allelic sequences in T. newnesi, a species in which the IgH genes were organized in two chromosomal loci. Possible pathways leading to IgH genes duplication during the diversification of trematomine fishes were inferred from the analysis of the FISH patterns in a phylogenetic context. The present work provides the first comprehensive picture of IgH genes organization at chromosomal level in a bony fish group.</t>
  </si>
  <si>
    <t>Univ Genoa, Dept Biol, I-16132 Genoa, Italy; CNR, Inst Prot Biochem, I-80131 Naples, Italy; Museum Natl Hist Nat, CNRS, UMR 7138, Dept Systemat &amp; Evolut, F-75005 Paris, France</t>
  </si>
  <si>
    <t>University of Genoa; Consiglio Nazionale delle Ricerche (CNR); Istituto di Biochimica delle Proteine (IBP-CNR); Sorbonne Universite; Museum National d'Histoire Naturelle (MNHN); Centre National de la Recherche Scientifique (CNRS); CNRS - National Institute for Biology (INSB)</t>
  </si>
  <si>
    <t>Pisano, E (corresponding author), Univ Genoa, Dept Biol, Viale Benedetto XV 5, I-16132 Genoa, Italy.</t>
  </si>
  <si>
    <t>pisano@unige.it</t>
  </si>
  <si>
    <t>Ghigliotti, Laura/AAN-6843-2021; Ghigliotti, Laura/J-3076-2012; Coscia, Maria Rosaria/AAU-1808-2021</t>
  </si>
  <si>
    <t>Ghigliotti, Laura/0000-0003-2139-1381;</t>
  </si>
  <si>
    <t>0016-6707</t>
  </si>
  <si>
    <t>1573-6857</t>
  </si>
  <si>
    <t>Genetica</t>
  </si>
  <si>
    <t>10.1007/s10709-006-0015-4</t>
  </si>
  <si>
    <t>153JQ</t>
  </si>
  <si>
    <t>WOS:000245429300002</t>
  </si>
  <si>
    <t>Drinia, H; Antonarakou, A; Tsaparas, N; Kontakiotis, G</t>
  </si>
  <si>
    <t>Drinia, Hara; Antonarakou, Assimina; Tsaparas, Nikolaos; Kontakiotis, George</t>
  </si>
  <si>
    <t>Palaeoenvironmental conditions preceding the Messinian Salinity crisis: A case study from Gavdos Island</t>
  </si>
  <si>
    <t>GEOBIOS</t>
  </si>
  <si>
    <t>benthic foraminifera; Messinian; diatomaceous marls; Gavdos; palaeoenvironment</t>
  </si>
  <si>
    <t>RECENT BENTHIC FORAMINIFERA; SURFACE OCEAN PRODUCTIVITY; ORGANIC-CARBON FLUX; BASIN SE SPAIN; LATE MIOCENE; VERTICAL-DISTRIBUTION; PLANKTONIC-FORAMINIFERA; CONTINENTAL-MARGIN; MICROHABITAT PREFERENCES; SEASONAL SUCCESSION</t>
  </si>
  <si>
    <t>The Messinian pre-evaporitic sedimentary succession of Gavdos Island (Metochia section) is a nearly uninterrupted succession of marine sediments. dominated by finely laminated diatomaceous marls, which are cyclically alternating with clayey diatomites and white diatomites. The qualitative and quantitative analysis of the planktonic foraminiferal fauna allowed the recognition of nine bioevents, which have been astronornically dated for the Mediterranean. The base of the diatomitic succession in Gavdos Island is dated at 6.722 Ma and the top at 6.015 Ma. The studied section contains benthic foraminiferal genera characteristic of an outer shelf to slope environment. The qualitative and quantitative analysis of this microfauna revealed three benthic foraminiferal fossil assemblages and the occurrence of allochthonous species transported into the bathyal environment by current activity. The cyclical pattern of the benthic foraminifera assemblages indicates that the studied sediments have been affected by repeated episodes of basin restriction characterized by low diversity benthic foraminifera populations, and a limited planktonic foraminifer association typified by shallow, surface-dwelling forms. This restriction was partly due to Antarctic cooling, which produced palaeo-Mediterranean sea-level oscillations during the Early Messinian, as a prelude to closure of the Atlantic connections. The relative impact of climatic versus tectonic control on sedimentation patterns within this basin is discussed. (C) 2007 Elsevier Masson SAS. All rights reserved.</t>
  </si>
  <si>
    <t>Natl &amp; Kapodistrian Univ Athens, Dept Hist Geol &amp; Paleontol, Fac Geol &amp; Geoenvironm, Athens 15784, Greece</t>
  </si>
  <si>
    <t>National &amp; Kapodistrian University of Athens</t>
  </si>
  <si>
    <t>Drinia, H (corresponding author), Natl &amp; Kapodistrian Univ Athens, Dept Hist Geol &amp; Paleontol, Fac Geol &amp; Geoenvironm, Athens 15784, Greece.</t>
  </si>
  <si>
    <t>cntrinia@geol.uoa.gr</t>
  </si>
  <si>
    <t>Drinia, Hara/AAA-2440-2021; Tsaparas, Nikolaos/ABI-6809-2020</t>
  </si>
  <si>
    <t>Drinia, Hara/0000-0002-0970-2290; Tsaparas, Nikolaos/0000-0002-6669-088X; Kontakiotis, George/0000-0001-9371-6726; Antonarakou, Assimina/0000-0001-8901-8423</t>
  </si>
  <si>
    <t>ELSEVIER FRANCE-EDITIONS SCIENTIFIQUES MEDICALES ELSEVIER</t>
  </si>
  <si>
    <t>ISSY-LES-MOULINEAUX</t>
  </si>
  <si>
    <t>65 RUE CAMILLE DESMOULINS, CS50083, 92442 ISSY-LES-MOULINEAUX, FRANCE</t>
  </si>
  <si>
    <t>0016-6995</t>
  </si>
  <si>
    <t>1777-5728</t>
  </si>
  <si>
    <t>GEOBIOS-LYON</t>
  </si>
  <si>
    <t>Geobios</t>
  </si>
  <si>
    <t>10.1016/j.geobios.2007.02.003</t>
  </si>
  <si>
    <t>Paleontology</t>
  </si>
  <si>
    <t>185SI</t>
  </si>
  <si>
    <t>WOS:000247730300003</t>
  </si>
  <si>
    <t>Bindeman, IN; Eiler, JM; Wing, BA; Farquhar, J</t>
  </si>
  <si>
    <t>Bindeman, I. N.; Eiler, J. M.; Wing, B. A.; Farquhar, J.</t>
  </si>
  <si>
    <t>Rare sulfur and triple oxygen isotope geochemistry of volcanogenic sulfate aerosols</t>
  </si>
  <si>
    <t>VOLCANIC-ERUPTIONS; ASH BEDS; FRACTIONATION; OXIDATION; OLIGOCENE; DIOXIDE; SYSTEM; IMPACT; OZONE; STRATOSPHERE</t>
  </si>
  <si>
    <t>We present analyses of stable isotopic ratios O-17/O-16, O-18/O-16, S-34/S-32, and S-33/S-32, S-36/S-32 in sulfate leached from volcanic ash of a series of well known, large and small volcanic eruptions. We consider eruptions of Mt. St. Helens (Washington, 1980, similar to 1 km(3)), Mt. Spurr (Alaska, 1953, &lt; 1 km(3)), Gjalp (Iceland, 1996, 1998, &lt; 1 km(3)), Pinatubo (Phillipines, 1991, 10 km(3)), Bishop tuff (Long Valley, California, 0.76 Ma, 750 km(3)), Lower Bandelier tuff (Toledo Caldera, New Mexico, 1.61 Ma, 600 km(3)), and 3 3 Lava Creek and Huckleberry Ridge tuffs (Yellowstone, Wyoming, 0.64 Ma, 1000 km(3) and 2.04 Ma 2500 km, respectively). This list covers much of the diversity of sizes and the character of silicic volcanic eruptions. Particular emphasis is paid to the Lava Creek tuff for which we present wide geographic sample coverage. This global dataset spans a significant range in delta S-34, delta O-18, and Delta O-17 of sulfate (29(0)/(00), 30(0)/(00), and 3.3(0)/(00), respectively) with oxygen isotopes recording mass-independent (Delta O-17 &gt; 0.2(0)/(00)) and sulfur isotopes exhibiting mass-dependent behavior. Products of large eruptions account for most of these isotopic ranges. Sulfate with Delta O-17 &gt; 0.2(0)/(00) is present as 1-10 mu m gypsum crystals on distal ash particles and records the isotopic signature of stratospheric photochemical reactions. Sediments that embed ash layers do not contain sulfate or contain little sulfate with Delta O-17 near 0(0)/(00), suggesting that the observed sulfate in ash is of volcanic origin. Mass-dependent fractionation of sulfur isotopic ratios suggests that sulfate-forming reactions did not involve photolysis of SO2, like that inferred for pre-2.3 Ga sulfates from Archean sediments or Antarctic ice-core sulfate associated with few dated eruptions. Even though the sulfate sulfur isotopic compositions reflect mass-dependent processes, the products of caldera-forming eruptions display a large delta S-34 range and exhibit fractionation relationships that do not follow the expected equilibrium slopes of 0.515 and 1.90 for S-33/S-32 VS. S-34/S-32 and S-36/S-32 vs. S-34/S-32, respectively. The data presented here are consistent with modification of a chemical mass-dependent fractionation of sulfur isotopes in the volcanic plume by either a kinetic gas phase reaction of volcanic SO2 with OH and/or a Rayleigh processes involving a residual Rayleigh reactant-volcanic S02 gas, rather than a Rayleigh product. These results may also imply at least two removal pathways for S02 in volcanic plumes. Above-zero Delta O-17 values and their positive correlation with delta O-18 in sulfate can be explained by oxidation by high-delta O-18 and high-Delta O-17 compounds such as ozone and radicals such as OH that result from ozone break down. Large caldera-forming eruptions have the highest Delta O-17 values, and the largest range of delta O-18, which can be explained by stratospheric reaction with ozone-derived OH radicals. These results suggest that massive eruptions are capable ofcausing a temporary depletion of the ozone layer. Such depletion may be many times that of the measured 3-8% depletion following 1991 Pinatubo eruption, if the amount of sulfur dioxide released scales with the amount of ozone depletion. (C) 2007 Elsevier Ltd. All rights reserved.</t>
  </si>
  <si>
    <t>Univ Oregon, Dept Geol Sci, Eugene, OR 97403 USA; CALTECH, Pasadena, CA 91125 USA; McGill Univ, Dept Earth &amp; Planetary Sci, Montreal, PQ, Canada; Univ Maryland, Dept Geol, College Pk, MD 20742 USA; Univ Maryland, Earth Syst Sci Interdisciplinary Ctr, College Pk, MD 20742 USA; Hanse Wissensch Kolleg, D-27753 Delmenhorst, Germany</t>
  </si>
  <si>
    <t>University of Oregon; California Institute of Technology; McGill University; University System of Maryland; University of Maryland College Park; University System of Maryland; University of Maryland College Park</t>
  </si>
  <si>
    <t>Bindeman, IN (corresponding author), Univ Oregon, Dept Geol Sci, Eugene, OR 97403 USA.</t>
  </si>
  <si>
    <t>bindeman@uoregon.edu</t>
  </si>
  <si>
    <t>Bindeman, Ilya/D-2497-2012</t>
  </si>
  <si>
    <t>Bindeman, Ilya/0000-0003-2778-9083</t>
  </si>
  <si>
    <t>MAY 1</t>
  </si>
  <si>
    <t>10.1016/j.gca.2007.01.026</t>
  </si>
  <si>
    <t>163NE</t>
  </si>
  <si>
    <t>WOS:000246165800012</t>
  </si>
  <si>
    <t>Li, L; Bebout, GE; Idleman, BD</t>
  </si>
  <si>
    <t>Li, Long; Bebout, Gray E.; Idleman, Bruce D.</t>
  </si>
  <si>
    <t>Nitrogen concentration and δ15N of altered oceanic crust obtained on ODP Legs 129 and 185:: Insights into alteration-related nitrogen enrichment and the nitrogen subduction budget</t>
  </si>
  <si>
    <t>FAST-SPREADING RIDGE; ISOTOPIC COMPOSITION; HYDROTHERMAL ALTERATION; ZONE METAMORPHISM; ODP SITE-801; MANTLE; VOLATILES; EVOLUTION; BASALT; CARBON</t>
  </si>
  <si>
    <t>Knowledge of the subduction input flux of nitrogen (N) in altered oceanic crust (AOC) is critical in any attempt to mass-balance N across arc-trench systems on a global or individual-margin basis. We have employed sealed-tube, carrier-gas-based methods to examine the N concentrations and isotopic compositions of AOC. Analyses of 53 AOC samples recovered on DSDP/ODP legs from the North and South Pacific, the North Atlantic, and the Antarctic oceans (with larger numbers of samples from Site 801 outboard of the Mariana trench and Site 1149 outboard of the Izu trench), and 14 composites for the AOC sections at Site 801, give N concentrations of 1.3 to 18.2 ppm and delta N-15(Air) of - 11.6(0)/(00) to +8.3(0)/(00), indicating significant N enrichment probably during the early stages of hydrothermal alteration of the oceanic basalts. The N-delta N-15 modeling for samples from Sites 801 and 1149 (n = 39) shows that the secondary N may come from (1) the sedimentary N in the intercalated sediments and possibly overlying sediments via fluid-sediment/rock interaction, and (2) degassed mantle N-2 in seawater via alteration-related abiotic reduction processes. For all Site 801 samples, weak correlation of N and K2O contents indicates that the siting of N in potassic alteration phases strongly depends on N availability and is possibly influenced by highly heterogeneous temperature and redox conditions during hydrothermal alteration. The upper 470-m AOC recovered by ODP Legs 129 and 185 delivers approximately 8 x 10(5) g/km N annually into the Mariana margin. If the remaining less-altered oceanic crust (assuming 6.5 km, mostly dikes and gabbros) has MORB-like N of 1.5 ppm, the entire oceanic crust transfers 5.1 x 10(6) g/km N annually into that trench. This N input flux is twice as large as the annual N input of 2.5 x 10(6) g/km in seafloor sediments subducting into the same margin, demonstrating that the N input in oceanic crust, and its isotopic consequences, must be considered in any assessment of convergent margin N flux. Published by Elsevier Ltd.</t>
  </si>
  <si>
    <t>Lehigh Univ, Bethlehem, PA 18015 USA</t>
  </si>
  <si>
    <t>Lehigh University</t>
  </si>
  <si>
    <t>Li, L (corresponding author), Inst Phys Globe, Equipe Physicochim Fluids Geol, 2 Pl Jussieu,Tour 54-61 1er Etage, F-75251 Paris 05, France.</t>
  </si>
  <si>
    <t>lo12@lehigh.edu</t>
  </si>
  <si>
    <t>Li, Long/B-3954-2011; Bebout, Gray/K-1290-2015</t>
  </si>
  <si>
    <t>Li, Long/0000-0003-3471-0839; Bebout, Gray/0000-0002-9768-9080; Idleman, Bruce/0000-0002-1696-6841</t>
  </si>
  <si>
    <t>10.1016/j.gca.2007.02.001</t>
  </si>
  <si>
    <t>WOS:000246165800013</t>
  </si>
  <si>
    <t>Kula, J; Tulloch, A; Spell, TL; Wells, ML</t>
  </si>
  <si>
    <t>Kula, Joseph; Tulloch, Andy; Spell, Terry L.; Wells, Michael L.</t>
  </si>
  <si>
    <t>Two-stage rifting of zealandia-australia-antarctica: Evidence from 40Ar/39Ar thermochronometry of the sisters shear zone, Stewart island, New Zealand</t>
  </si>
  <si>
    <t>New Zealand; extension; thermochronology; gondwana; rifting; cretaceous</t>
  </si>
  <si>
    <t>MARIE-BYRD LAND; METAMORPHIC CORE COMPLEX; TECTONIC DEVELOPMENT; GEOLOGY; MARGIN; EXTENSION; COLLAPSE; REGIMES; HISTORY; ROCKS</t>
  </si>
  <si>
    <t>The Sisters shear zone is a newly discovered Late Cretaceous detachment fault system exposed for 40 km along the southeast coast of Stewart Island, southernmost New Zealand. Footwall rocks consist of variably deformed ca. 310 and 105 Ma granites that range from undeformed to protomylonite, mylonite, and ultramylonite. The hanging wall includes nonmarine conglomerate and brittley deformed granite. K-feldspar thermochronometry of the footwall indicates moderately rapid cooling (20-30 C degrees/m.y.) due to tectonic denudation over the interval ca. 89-82 Ma. Return to slow cooling at 82 Ma coincides with the age of the oldest seafloor adjacent to the Campbell Plateau and reflects the mechanical transition from continental extension to lithospheric rupture and formation of the Pacific-Antarctic Ridge. Our findings support a two-stage rift model for continental breakup of this part of the Gondwana margin. Stage one (ca. 101-88 Ma) is the northward propagation of continental extension and the Tasman Ridge as recorded in mylonite dredged from the Ross Sea and the Paparoa core complex. Stage two (ca. 89-82 Ma) is extension between the Campbell Plateau and West Antarctica leading to formation of the Pacific-Antarctic Ridge.</t>
  </si>
  <si>
    <t>Univ Nevada, Dept Geosci, Las Vegas, NV 89154 USA; GNS Sci, Dunedin, New Zealand</t>
  </si>
  <si>
    <t>Nevada System of Higher Education (NSHE); University of Nevada Las Vegas; GNS Science - New Zealand</t>
  </si>
  <si>
    <t>Kula, J (corresponding author), Univ Nevada, Dept Geosci, Las Vegas, NV 89154 USA.</t>
  </si>
  <si>
    <t>Wells, Michael/0000-0003-1918-6469</t>
  </si>
  <si>
    <t>10.1130/G23432A.1</t>
  </si>
  <si>
    <t>221UX</t>
  </si>
  <si>
    <t>WOS:000250253900007</t>
  </si>
  <si>
    <t>Sorlien, CC; Luyendyk, BP; Wilson, DS; Decesari, RC; Bartek, LR; Diebold, JB</t>
  </si>
  <si>
    <t>Sorlien, Christopher C.; Luyendyk, Bruce P.; Wilson, Douglas S.; Decesari, Robert C.; Bartek, Louis R.; Diebold, John B.</t>
  </si>
  <si>
    <t>Oligocene development of the west antarctic ice sheet recorded in eastern ross sea strata</t>
  </si>
  <si>
    <t>antarctic ice sheet; Marie byrd land; west antarctica; seismic; stratigraphy; ross sea; oligocene; basins</t>
  </si>
  <si>
    <t>HISTORY; EROSION</t>
  </si>
  <si>
    <t>Seismic-reflection data from the easternmost Ross Sea image buried scour-and-fill troughs and flat-topped ridges interpreted as having formed by glacial erosion and deposition during the Oligocene. The NNW-SSE orientation of the troughs and lack of similar Oligocene glacial features within the central Ross Sea suggests that the ice issued from the highlands of Marie Byrd Land located 100 km away and that portions of the West Antarctic Ice Sheet formed earlier than previously accepted. Existing global climate models (GCMs) do not produce West Antarctic ice caps for the Oligocene, in part due to low elevations modeled for that time. Evidence for Oligocene ice beyond the paleocoast suggests a higher elevation for the early Cenozoic Marie Byrd Land and Ross Embayment than at present.</t>
  </si>
  <si>
    <t>Univ Calif Santa Barbara, Inst Crustal Studies, Santa Barbara, CA 93106 USA; Univ Calif Santa Barbara, Dept Earth Sci, Santa Barbara, CA 93106 USA; Univ N Carolina, Dept Geol Sci, Chapel Hill, NC 27599 USA; Columbia Univ, Lamont Doherty Earth Observ, Palisades, NY 10964 USA</t>
  </si>
  <si>
    <t>University of California System; University of California Santa Barbara; University of California System; University of California Santa Barbara; University of North Carolina; University of North Carolina Chapel Hill; Columbia University</t>
  </si>
  <si>
    <t>Decesari, RC (corresponding author), Univ Calif Santa Barbara, Inst Crustal Studies, Santa Barbara, CA 93106 USA.</t>
  </si>
  <si>
    <t>10.1130/G23387A.1</t>
  </si>
  <si>
    <t>WOS:000250253900021</t>
  </si>
  <si>
    <t>Stroeve, J; Holland, MM; Meier, W; Scambos, T; Serreze, M</t>
  </si>
  <si>
    <t>Stroeve, Julienne; Holland, Marika M.; Meier, Walt; Scambos, Ted; Serreze, Mark</t>
  </si>
  <si>
    <t>Arctic sea ice decline: Faster than forecast</t>
  </si>
  <si>
    <t>CLIMATE-CHANGE; OCEAN; AMPLIFICATION</t>
  </si>
  <si>
    <t>From 1953 to 2006, Arctic sea ice extent at the end of the melt season in September has declined sharply. All models participating in the Intergovernmental Panel on Climate Change Fourth Assessment Report (IPCC AR4) show declining Arctic ice cover over this period. However, depending on the time window for analysis, none or very few individual model simulations show trends comparable to observations. If the multi-model ensemble mean time series provides a true representation of forced change by greenhouse gas (GHG) loading, 33-38% of the observed September trend from 1953-2006 is externally forced, growing to 47-57% from 1979-2006. Given evidence that as a group, the models underestimate the GHG response, the externally forced component may be larger. While both observed and modeled Antarctic winter trends are small, comparisons for summer are confounded by generally poor model performance.</t>
  </si>
  <si>
    <t>Univ Colorado, Natl Snow &amp; Ice Data Ctr, Cooperat Inst Res Environm Sci, Boulder, CO 80309 USA; Natl Ctr Atmospher Res, Climate &amp; Global Dynam Div, Earth &amp; Sun Syst Lab, Boulder, CO 80307 USA</t>
  </si>
  <si>
    <t>University of Colorado System; University of Colorado Boulder; National Center Atmospheric Research (NCAR) - USA</t>
  </si>
  <si>
    <t>Stroeve, J (corresponding author), Univ Colorado, Natl Snow &amp; Ice Data Ctr, Cooperat Inst Res Environm Sci, Boulder, CO 80309 USA.</t>
  </si>
  <si>
    <t>stroeve@kryos.colorado.edu</t>
  </si>
  <si>
    <t>Scambos, Ted A/B-1856-2009; Stroeve, Julienne/D-1525-2010; Stroeve, Julienne/ABE-7227-2020</t>
  </si>
  <si>
    <t>SCAMBOS, Ted A./0000-0003-4268-6322; Meier, Walter/0000-0003-2857-0550; Holland, Marika/0000-0001-5621-8939</t>
  </si>
  <si>
    <t>L09501</t>
  </si>
  <si>
    <t>10.1029/2007GL029703</t>
  </si>
  <si>
    <t>165LA</t>
  </si>
  <si>
    <t>WOS:000246305800003</t>
  </si>
  <si>
    <t>Mokhov, II; Akperov, MG; Lagun, VE; Lutsenko, EI</t>
  </si>
  <si>
    <t>Mokhov, I. I.; Akperov, M. G.; Lagun, V. E.; Lutsenko, E. I.</t>
  </si>
  <si>
    <t>Intense Arctic mesocyclones</t>
  </si>
  <si>
    <t>POLAR AIR STREAMS; CYCLONES</t>
  </si>
  <si>
    <t>Characteristics of polar mesoscale cyclones (PMCs) over the North European Basin are analyzed using cloud cover distribution data for 1981-1995. Special features of the annual cycle and interannual variations in characteristics of Arctic mesocyclones with a spiral and comma-shaped cloud structure are discussed. Against the background of large interannual variations, no statistically significant trends were found in the characteristics of Arctic mesocyclones over the North European Basin in the late 20th century. It is shown that the cumulative frequency distribution of PMCs is well approximated by an exponential function in a size range for Arctic mesocyclones from 50 to 400 km. The applicability of the Weibull distribution as an approximation of the PMC size distribution of the number of cyclone days is analyzed. It is shown that the correspondence between the real distribution and the Weibull distribution became worse in the 1990s than in the 1980s, especially the first half of the 1980s. Much of this was due to an increased local maximum in the 1990s in the distribution of polar mesocyclones with diameters about 400 km. This local maximum was found for all types of mesoscale vortices and for all analyzed five-year subperiods during 1981-1995. A large discrepancy between the frequency distribution functions for PMCs depending on their diameters was shown to exist for different types of Arctic mesocyclones.</t>
  </si>
  <si>
    <t>Russian Acad Sci, Oboukhov Inst Atmospher Phys, Moscow 119017, Russia; Arctic &amp; Antarctic Res Inst, St Petersburg 199397, Russia</t>
  </si>
  <si>
    <t>Russian Academy of Sciences; Obukhov Institute of Atmospheric Physics of Russian Academy of Sciences; Arctic &amp; Antarctic Research Institute</t>
  </si>
  <si>
    <t>Mokhov, II (corresponding author), Russian Acad Sci, Oboukhov Inst Atmospher Phys, Pzyhevskii 3, Moscow 119017, Russia.</t>
  </si>
  <si>
    <t>mokhov@ifaran.ru</t>
  </si>
  <si>
    <t>Mokhov, Igor/U-9564-2019; Akperov, Mirseid/J-2867-2016</t>
  </si>
  <si>
    <t>Akperov, Mirseid/0000-0001-5802-6850</t>
  </si>
  <si>
    <t>10.1134/S0001433807030012</t>
  </si>
  <si>
    <t>230IG</t>
  </si>
  <si>
    <t>WOS:000250869600001</t>
  </si>
  <si>
    <t>Low, M; Pärt, T; Forslund, P</t>
  </si>
  <si>
    <t>Low, Matthew; Part, Tomas; Forslund, Par</t>
  </si>
  <si>
    <t>Age-specific variation in reproduction is largely explained by the timing of territory establishment in the New Zealand stitchbird Notiomystis cincta</t>
  </si>
  <si>
    <t>conservation; recruitment; reproductive restraint; supplementary feeding; translocation</t>
  </si>
  <si>
    <t>BREEDING PERFORMANCE; MONOGAMOUS BIRDS; SUCCESS; DISPERSAL; CONSEQUENCES; SENESCENCE; DOMINANCE; PATTERNS; DATE</t>
  </si>
  <si>
    <t>1. Using data from 327 nests over a consecutive 8-year period we examined age-specific variation in reproduction in a population of stitchbirds (or hihi) Notiomystis cincta and related how differences in reproductive performance were linked to the timing of territory establishment and breeding. 2. Across the population all reproductive parameters showed a quadratic relationship with an increase mainly between the first and second breeding season and a decline after the fourth year. A longitudinal analysis showed evidence of senescence by the sixth year in the numbers of chicks fledged and recruited. 3. Reproductive increases between years 1 and 2 were the result of poor-quality females dying after their first breeding season (differential selection hypothesis) in combination with surviving females showing improvements in reproduction in their second year (individual improvement/constraint hypothesis). 4. There was no effect of mate experience or territory quality on improvements in breeding between years. 5. The key variable influencing reproductive output was the timing of breeding. Birds that started laying earlier were more likely to lay multiple clutches in any given season. This was the main difference between first-year and older birds; generally first-year birds initiated egg laying later and consequently laid fewer clutches. 6. Approximately half of all first-year birds did not establish their territory until after the breeding season had begun. This delay in territory establishment resulted in these birds delaying breeding, which resulted in them having a lower reproductive output relative to all other birds. First-year birds that managed to establish their territory before breeding commenced, had similar rates of reproduction as older birds. 7. There was a positive relationship between the timing of territory establishment during a female's first year and her hatching date in the previous breeding season. We hypothesize that this was because late-hatched females were less able to effectively compete for territories against earlier-hatched members of their cohort, and this delayed their establishment and breeding in their first year. Thus, this social constraint is likely to be a major factor driving age-specific reproductive variation in this population.</t>
  </si>
  <si>
    <t>Australian Antarctic Div, Dept Environm &amp; Heritage, Kingston, Tas 7050, Australia; Massey Univ, Ecol Grp, Palmerston North, New Zealand; Swedish Univ Agr Sci, Dept Conservat Biol, SE-75007 Uppsala, Sweden</t>
  </si>
  <si>
    <t>Australian Antarctic Division; Massey University; Swedish University of Agricultural Sciences</t>
  </si>
  <si>
    <t>Low, M (corresponding author), Australian Antarctic Div, Dept Environm &amp; Heritage, 203 Channel Highway, Kingston, Tas 7050, Australia.</t>
  </si>
  <si>
    <t>matt.low@aad.gov.au</t>
  </si>
  <si>
    <t>Part, Tomas/0000-0001-7388-6672; Low, Matthew/0000-0002-7345-6063</t>
  </si>
  <si>
    <t>10.1111/j.1365-2656.2007.01234.x</t>
  </si>
  <si>
    <t>155WI</t>
  </si>
  <si>
    <t>WOS:000245608900005</t>
  </si>
  <si>
    <t>Maniscalco, JM; Harris, KR; Atkinson, S; Parker, P</t>
  </si>
  <si>
    <t>Maniscalco, John M.; Harris, Karin R.; Atkinson, Shannon; Parker, Pamela</t>
  </si>
  <si>
    <t>Alloparenting in Steller sea lions (Eumetopias jubatus):: correlations with misdirected care and other observations</t>
  </si>
  <si>
    <t>JOURNAL OF ETHOLOGY</t>
  </si>
  <si>
    <t>adoption; aggression; alloparental care; Eumetopias jubatus; milk stealing; parity; pup tossing; Steller sea lion</t>
  </si>
  <si>
    <t>ANTARCTIC FUR SEALS; FOSTERING BEHAVIOR; MILK-PRODUCTION; MATERNAL SIZE; PUP GROWTH; ALASKA; PERFORMANCE; EVOLUTION; PATTERNS; ADOPTION</t>
  </si>
  <si>
    <t>Alloparental care is rarely observed in Steller sea lions (Eumetopias jubatus) where maternal care is extended to a single pup for up to 1 year or more. However, we observed 28 allonursing events and one case of adoption at a small breeding rookery in the western Gulf of Alaska between the years 2001 and 2005. Multiparous and primiparous females were observed nursing nonfilial individuals with equal frequency, but primiparous females spent significantly more time nursing nonfilial individuals. Multiparous females allowed allonursing only while sleeping and unaware while most primiparous females were aware that they were allonursing. These results are consistent with the misdirected-care hypothesis suggesting that primiparous (presumably younger) females nurse nonfilial pups due to inexperience, whereas multiparous (presumably older) females are victims of milk stealing during times of inattentiveness. Nonfilial pups were aggressively tossed most often during the pupping season and only by multiparous females, while allonursing events occurred more frequently after the pupping season. Starveling pups were not cared for by any female, but two were attended by a single bull during separate autumn seasons.</t>
  </si>
  <si>
    <t>Alaska SeaLife Ctr, Seward, AK 99664 USA; Univ Alaska Fairbanks, Sch Fisheries &amp; Ocean Sci, Fairbanks, AK 99775 USA</t>
  </si>
  <si>
    <t>Maniscalco, JM (corresponding author), Alaska SeaLife Ctr, 301 Railway Ave,POB 1329, Seward, AK 99664 USA.</t>
  </si>
  <si>
    <t>john_maniscalco@alaskasealife.org</t>
  </si>
  <si>
    <t>Maniscalco, John/0000-0003-0920-327X</t>
  </si>
  <si>
    <t>SPRINGER TOKYO</t>
  </si>
  <si>
    <t>3-3-13, HONGO, BUNKYO-KU, TOKYO, 113-0033, JAPAN</t>
  </si>
  <si>
    <t>0289-0771</t>
  </si>
  <si>
    <t>J ETHOL</t>
  </si>
  <si>
    <t>J. Ethol.</t>
  </si>
  <si>
    <t>10.1007/s10164-006-0001-4</t>
  </si>
  <si>
    <t>Behavioral Sciences; Zoology</t>
  </si>
  <si>
    <t>159SO</t>
  </si>
  <si>
    <t>WOS:000245887000004</t>
  </si>
  <si>
    <t>Tammaro, S; Filosa, S; Frezza, V; Motta, CM; Simoniello, P; Carotenuto, R</t>
  </si>
  <si>
    <t>Tammaro, S.; Filosa, S.; Frezza, V.; Motta, C. M.; Simoniello, P.; Carotenuto, R.</t>
  </si>
  <si>
    <t>Identification and localization of α- and β-spectrins in oocytes of three Antarctic teleosts:: Trematomus bernacchii, Trematomus newnesi (Nototheniidae) and Chionodraco hamatus (Channichthyidae)</t>
  </si>
  <si>
    <t>JOURNAL OF FISH BIOLOGY</t>
  </si>
  <si>
    <t>actin localization; chorion; notothenioids; previtellogenic oocytes; spectrin isoforms</t>
  </si>
  <si>
    <t>DISCOGLOSSUS-PICTUS ANURA; EPITHELIAL-CELLS; HEREDITARY ELLIPTOCYTOSIS; INTERMEDIATE FILAMENTS; NONERYTHROID SPECTRINS; FRAMESHIFT MUTATION; MEMBRANE SKELETON; BRAIN SPECTRIN; XENOPUS-LAEVIS; EGG SPECTRIN</t>
  </si>
  <si>
    <t>The presence and localization of alpha- and beta-spectrins and of the spectrin cross-linking protein actin were investigated, in previtellogenic oocytes of three species of Antarctic teleosts: the two red-blooded nototheniids, Trematomus bernacchii and Trematomus newnesi, and the channichthyid, the ice fish Chionodraco hamatus. Analyses by western blotting indicated that these species had an unusual abundance of spectrin isoforms and that they were characterized by rather low molecular masses. The immunocytochemistry in situ demonstrated that alpha- and beta-spectrins showed a variable pattern of localization that clearly depended on both the species considered and the stage of oocyte differentiation. In particular, the two Trematomus spp. showed a distribution of spectrins absolutely comparable and rather different from that of C. hamatus. The evidences collected confirmed that channichthyids have isolated early from the group of red-blooded species and suggest that in notothenioids significant changes might have occurred in spectrin genes and in their protein products.</t>
  </si>
  <si>
    <t>Univ Naples Federico II, Dipartimento Sci Biol, I-80134 Naples, Italy; Univ Naples Federico II, Dipartimento Biol Strutturale &amp; Funz, I-80126 Naples, Italy</t>
  </si>
  <si>
    <t>University of Naples Federico II; University of Naples Federico II</t>
  </si>
  <si>
    <t>Motta, CM (corresponding author), Univ Naples Federico II, Dipartimento Sci Biol, Via Mezzocannone 8, I-80134 Naples, Italy.</t>
  </si>
  <si>
    <t>chiaramaria.motta@unina.it</t>
  </si>
  <si>
    <t>maria, Motta chiara/K-1426-2019</t>
  </si>
  <si>
    <t>Simoniello, Palma/0000-0003-2888-2642; motta, chiara maria/0000-0003-1035-0664</t>
  </si>
  <si>
    <t>0022-1112</t>
  </si>
  <si>
    <t>J FISH BIOL</t>
  </si>
  <si>
    <t>J. Fish Biol.</t>
  </si>
  <si>
    <t>10.1111/j.1095-8649.2007.01413.x</t>
  </si>
  <si>
    <t>158RX</t>
  </si>
  <si>
    <t>WOS:000245813000002</t>
  </si>
  <si>
    <t>Lee, MM; Nurser, AJG; Coward, AC; de Cuevas, BA</t>
  </si>
  <si>
    <t>Lee, Mei-Man; Nurser, A. J. George; Coward, A. C.; de Cuevas, B. A.</t>
  </si>
  <si>
    <t>Eddy advective and diffusive transports of heat and salt in the Southern Ocean</t>
  </si>
  <si>
    <t>ANTARCTIC CIRCUMPOLAR CURRENT; CONSTANT HEIGHT; MASS-TRANSPORT; PART II; CIRCULATION; MODEL; PRECIPITATION; TRACER; FLUX</t>
  </si>
  <si>
    <t>There are two distinct mechanisms by which eddies provide systematic transport of tracer on isopycnals: the advective transport, associated with the slumping of isopycnals, and the diffusive transport, associated with down- gradient diffusion. Depending on the large-scale tracer distribution, eddy advective transport has either the same direction as or opposite direction to eddy diffusive transport. As a consequence, eddy advection and eddy diffusion can reinforce each other for some tracers but oppose each other for other tracers. Using scaling analysis, it is argued that the relative directions of eddy advective and diffusive transports can be determined simply from the relative slopes of tracers and isopycnals. An eddy- resolving (1/12 degrees) global ocean model is used to illustrate the two eddy transport mechanisms for temperature and salinity in the Southern Ocean. Applications to other tracers, such as oxygen, are discussed. The diagnosed eddy diffusivity for temperature (and salinity) is found to be considerably different from the eddy diffusivity for eddy advective transport velocity.</t>
  </si>
  <si>
    <t>Natl Oceanog Ctr, James Rennell Div Ocean Circualt &amp; Climate, Southampton SO14 3ZH, Hants, England</t>
  </si>
  <si>
    <t>NERC National Oceanography Centre</t>
  </si>
  <si>
    <t>Lee, MM (corresponding author), Natl Oceanog Ctr, James Rennell Div Ocean Circualt &amp; Climate, Empress Dock, Southampton SO14 3ZH, Hants, England.</t>
  </si>
  <si>
    <t>mmlee@noc.soton.ac.uk</t>
  </si>
  <si>
    <t>Natural Environment Research Council [soc010011, soc010007] Funding Source: researchfish; NERC [soc010007, soc010011] Funding Source: UKRI</t>
  </si>
  <si>
    <t>10.1175/JPO3057.1</t>
  </si>
  <si>
    <t>172LD</t>
  </si>
  <si>
    <t>WOS:000246804900018</t>
  </si>
  <si>
    <t>Multiple jets of the Antarctic circumpolar current South of Australia</t>
  </si>
  <si>
    <t>QUASI-GEOSTROPHIC MODEL; GRAVEST EMPIRICAL MODE; SEA-SURFACE HEIGHT; BETA-PLANE CHANNEL; ZONAL JETS; WIND-DRIVEN; DRAKE PASSAGE; OCEAN FRONTS; MEAN FLOW; CIRCULATION</t>
  </si>
  <si>
    <t>Maps of the gradient of sea surface height (SSH) and sea surface temperature (SST) reveal that the Antarctic Circumpolar Current (ACC) consists of multiple jets or frontal filaments. The braided and patchy nature of the gradient fields seems at odds with the traditional view, derived from hydrographic sections, that the ACC is made up of three continuous circumpolar fronts. By applying a nonlinear fitting procedure to 638 weekly maps of SSH gradient (del SSH), it is shown that the distribution of maxima in del SSH (i.e., fronts) is strongly peaked at particular values of absolute SSH (i.e., streamlines). The association between the jets and particular streamlines persists despite strong topographic and eddy - mean flow interactions, which cause the jets to merge, diverge, and fluctuate in intensity along their path. The SSH values corresponding to each frontal branch are nearly constant over the sector of the Southern Ocean between 100 degrees E and 180 degrees. The front positions inferred from SSH agree closely with positions inferred from hydrographic sections using traditional water mass criteria. Recognition of the multiple branches of the Southern Ocean fronts helps to reconcile differences between front locations determined by previous studies. Weekly maps of SSH are used to characterize the structure and variability of the ACC fronts and filaments. The path, width, and intensity of the frontal branches are influenced strongly by the bathymetry. The meander envelopes of the fronts are narrow on the northern slope of topographic ridges, where the sloping topography reinforces the beta effect, and broader over abyssal plains.</t>
  </si>
  <si>
    <t>CSIRO Marine &amp; Atmospher Res, Hobart, Tas 7001, Australia; Antarctic Climate &amp; Ecosyst Cooperat Res Ctr, Hobart, Tas 7001, Australia</t>
  </si>
  <si>
    <t>Sokolov, S (corresponding author), CSIRO Marine &amp; Atmospher Res, Hobart, Tas 7001, Australia.</t>
  </si>
  <si>
    <t>10.1175/JPO3111.1</t>
  </si>
  <si>
    <t>WOS:000246804900019</t>
  </si>
  <si>
    <t>Bell, MV; Dick, JR; Anderson, TR; Pond, DW</t>
  </si>
  <si>
    <t>Bell, Michael V.; Dick, James R.; Anderson, Thomas R.; Pond, David W.</t>
  </si>
  <si>
    <t>Application of liposome and stable isotope tracer techniques to study polyunsaturated fatty acid biosynthesis in marine zooplankton</t>
  </si>
  <si>
    <t>COPEPOD ACARTIA-TONSA; DOCOSAHEXAENOIC ACID; EGG-PRODUCTION; FOOD; NUTRITION; BACTERIA; SESTON; MYKISS; LIPIDS</t>
  </si>
  <si>
    <t>We investigated the ability of four species of marine zooplanklon to synthesize polyunsaturated fato acids (PUFAs) during pulse-chase tracer experiments. Liposomes containing a deuterium labelled precursor fatty acid, D-5-183n-3, were fed to female Calanus finmarchicus, Calanoides acutus, Drepanopus forcipatus and caylptopus larvae of Euphausia superba during ship-board experiments. Although all species of zooplankton readily ingested the liposomes and incorporated the D-5-18:3n-3 tracer into their somatic lipid pool, only negligible products of elongation and desaturation; D-5-18:4n.-3, D-5-20:5n-3 and D-5-22:6n(-3) were detected after 96 h incubations. We conclude that the four species of marine zooplankton examined here are unable to synthesize PUPA at ecologically significant rates and certainly not in amounts sufficient to support growth and reproductive processes.</t>
  </si>
  <si>
    <t>British Antarctic Survey, Nat Environm Res Council, Cambridge CB3 0ET, England; Univ Stirling, Inst Aquaculture, Stirling FK9 4LA, Scotland; Univ Southampton, Natl Oceanog Ctr, Southampton SO14 3ZH, Hants, England</t>
  </si>
  <si>
    <t>UK Research &amp; Innovation (UKRI); Natural Environment Research Council (NERC); NERC British Antarctic Survey; University of Stirling; NERC National Oceanography Centre; University of Southampton</t>
  </si>
  <si>
    <t>Pond, DW (corresponding author), British Antarctic Survey, Nat Environm Res Council, Madingley Rd, Cambridge CB3 0ET, England.</t>
  </si>
  <si>
    <t>dwpo@bas.ac.uk</t>
  </si>
  <si>
    <t>Anderson, Thomas R/K-5487-2012</t>
  </si>
  <si>
    <t>NERC [bas010017, soc010012, soc010008] Funding Source: UKRI; Natural Environment Research Council [soc010008, bas010017, soc010012] Funding Source: researchfish</t>
  </si>
  <si>
    <t>10.1093/plankt/fbm025</t>
  </si>
  <si>
    <t>182VB</t>
  </si>
  <si>
    <t>WOS:000247531000002</t>
  </si>
  <si>
    <t>Roberts, J; Heil, P; Phipps, SJ; Bindoff, N</t>
  </si>
  <si>
    <t>Roberts, Jason; Heil, Petra; Phipps, Steven J.; Bindoff, Nathan</t>
  </si>
  <si>
    <t>AusCOM: The Australian Community Ocean Model</t>
  </si>
  <si>
    <t>JOURNAL OF RESEARCH AND PRACTICE IN INFORMATION TECHNOLOGY</t>
  </si>
  <si>
    <t>Biannual Conference Australian-Partnership-for-Advanced-Computing (APAC)</t>
  </si>
  <si>
    <t>Gold Coast, AUSTRALIA</t>
  </si>
  <si>
    <t>The Australian Community Ocean Model (AusCOM) is an initiative by the Australian climate sciences community (including government and academic research laboratories) towards a unified coupled ocean-seaice model for climate applications. The technical configuration and details of the sub-models are presented here. Initial results, and the development of a displaced pole bipolar ocean grid are discussed. An outlook for future model development is given.</t>
  </si>
  <si>
    <t>Univ Tasmania, Tasmanian Partnership Adv Comp, Hobart, Tas 7001, Australia; Univ Tasmania, Antarctic Climate &amp; Ecosyst CRC, Hobart, Tas 7001, Australia; Australian Govt Antarctic Div, Kingston, Tas 7050, Australia; Univ Tasmania, Inst Antarctic &amp; So Ocean Studies, Hobart, Tas 7001, Australia; CSIRO, Marine &amp; Atmospher Res, Hobart, Tas 7000, Australia</t>
  </si>
  <si>
    <t>University of Tasmania; University of Tasmania; Australian Antarctic Division; University of Tasmania; Commonwealth Scientific &amp; Industrial Research Organisation (CSIRO)</t>
  </si>
  <si>
    <t>Roberts, J (corresponding author), Univ Tasmania, Tasmanian Partnership Adv Comp, Private Bag 37, Hobart, Tas 7001, Australia.</t>
  </si>
  <si>
    <t>J.L.Roberts@utas.edu.au; Petra.Heil@utas.edu.au; sjphipps@utas.edu.au; n.bindoff@utas.edu.au</t>
  </si>
  <si>
    <t>Bindoff, Nathaniel Lee/C-8050-2011; Bindoff, Nathaniel Lee/IVV-0333-2023; Roberts, Jason L/B-2235-2012; Phipps, Steven/B-3135-2008</t>
  </si>
  <si>
    <t>Bindoff, Nathaniel Lee/0000-0001-5662-9519; Bindoff, Nathaniel Lee/0000-0001-5662-9519; Roberts, Jason L/0000-0002-3477-4069; Phipps, Steven/0000-0001-5657-8782; Heil, Petra/0000-0003-2078-0342</t>
  </si>
  <si>
    <t>AUSTRALIAN COMPUTER SOC INC</t>
  </si>
  <si>
    <t>SYDNEY</t>
  </si>
  <si>
    <t>PO BOX Q534, QVB POST OFFICE, SYDNEY, NSW 1230, AUSTRALIA</t>
  </si>
  <si>
    <t>1443-458X</t>
  </si>
  <si>
    <t>J RES PRACT INF TECH</t>
  </si>
  <si>
    <t>J. Res. Pract. Inf. Technol.</t>
  </si>
  <si>
    <t>Computer Science, Information Systems; Computer Science, Software Engineering</t>
  </si>
  <si>
    <t>Computer Science</t>
  </si>
  <si>
    <t>160GU</t>
  </si>
  <si>
    <t>WOS:000245929700007</t>
  </si>
  <si>
    <t>Cantalamessa, G; Di Celma, C; Ragaini, L; Valleri, G; Landini, W</t>
  </si>
  <si>
    <t>Cantalamessa, Gino; Di Celma, Claudio; Ragaini, Luca; Valleri, Gigliola; Landini, Walter</t>
  </si>
  <si>
    <t>Sedimentology and high-resolution sequence stratigraphy of the late middle to late Miocene Angostura Formation (western Borbon Basin, northwestern Ecuador)</t>
  </si>
  <si>
    <t>JOURNAL OF THE GEOLOGICAL SOCIETY</t>
  </si>
  <si>
    <t>SEA-LEVEL FLUCTUATIONS; ANTARCTIC ICE-SHEET; NEW-ZEALAND; WANGANUI BASIN; PLIOCENE-PLEISTOCENE; NEW-JERSEY; OLIGOCENE/MIOCENE BOUNDARY; MIDPLEISTOCENE SEQUENCES; SHELL CONCENTRATIONS; SYSTEMS TRACTS</t>
  </si>
  <si>
    <t>An integrated analysis of facies and palaeontological content of the middle to late Miocene (c. 12.4-9.1 Mat Angostura Formation led to the identification of facies associations indicative of shoreface and inner-shelf settings. The Angostura Formation comprises eight high-frequency sequences that are stacked to form a tectonically driven lowstand sequence set. The most complete examples of sequences are bounded by transgressively modified unconformities and exhibit a threefold subdivision: (1) a basal suite of deepening-upward shoreface sediments (transgressive systems tract), including a base-of-cycle shell concentration; (2) a mid-cycle shell bed, consisting of molluscan shells dispersed in a matrix of inner-shelf muddy fine-grained sandstones; (3) a shallowing-upward unit of inner-shelf to lower shoreface sediments almost barren of mollusc fossils (highstand systems tract). Biostratigraphic constraints allowed a reasonable correlation between sequence bounding unconformities and the late middle to late Miocene high-frequency glacio-eustatic changes derived from recent 6180 Studies. This correlation has far-reaching implications and leads to the following conclusions: (1) glacio-eustasy in tune with oxygen isotope changes at fourth-order frequency (200 ka-1 Ma duration) may have been the principal factor regulating stratigraphic packaging in the Angostura Formation; (2) these sequences provide an excellent shallow-marine outcrop record of late middle to late Miocene Antarctic glaciations.</t>
  </si>
  <si>
    <t>Univ Camerino, Dipartimento Sci Terra, I-62032 Camerino, MC, Italy; Univ Pisa, Dipartimento Sci Terra, I-56126 Pisa, Italy; Univ Florence, Dipartimento Sci Terra, I-50121 Florence, Italy</t>
  </si>
  <si>
    <t>University of Camerino; University of Pisa; University of Florence</t>
  </si>
  <si>
    <t>Cantalamessa, G (corresponding author), Univ Camerino, Dipartimento Sci Terra, I-62032 Camerino, MC, Italy.</t>
  </si>
  <si>
    <t>c.di-celma@liverpool.ac.uk</t>
  </si>
  <si>
    <t>GEOLOGICAL SOC PUBL HOUSE</t>
  </si>
  <si>
    <t>BATH</t>
  </si>
  <si>
    <t>UNIT 7, BRASSMILL ENTERPRISE CENTRE, BRASSMILL LANE, BATH BA1 3JN, AVON, ENGLAND</t>
  </si>
  <si>
    <t>0016-7649</t>
  </si>
  <si>
    <t>J GEOL SOC LONDON</t>
  </si>
  <si>
    <t>J. Geol. Soc.</t>
  </si>
  <si>
    <t>10.1144/0016-76492006-001</t>
  </si>
  <si>
    <t>165TY</t>
  </si>
  <si>
    <t>WOS:000246329900014</t>
  </si>
  <si>
    <t>Teschke, M; Kawaguchi, S; Meyer, B</t>
  </si>
  <si>
    <t>Teschke, Mathias; Kawaguchi, So; Meyer, Bettina</t>
  </si>
  <si>
    <t>Simulated light regimes affect feeding and metabolism of Antarctic krill, Euphausia superba</t>
  </si>
  <si>
    <t>ENERGY BUDGETS; PHOTOPERIOD; INTENSITY; MELATONIN; GROWTH; BEHAVIOR; LARVAL; WINTER</t>
  </si>
  <si>
    <t>The effect of different light regimes on physiological parameters (feeding activity, oxygen consumption, and activity of the metabolic enzyme malate dehydrogenase [MDH]) of Antarctic krill, Euphausia superba, was studied over 12 weeks under laboratory conditions. Krill were exposed to light-cycle regimes of variable intensity to simulate Southern Ocean summer, autumn, and winter conditions, respectively, using: (1) continuous light (LL; 200 lux max), (2) 12-h light and 12-h darkness (LD 12 : 12; 50 lux max), and (3) continuous darkness (DD). In all experimental groups, the food concentration was kept at high levels (similar to 800 mu g C L-1). Krill exposed to LL and LD 12 : 12 showed an increase in all measured parameters over the experimental period. Physiological parameters of krill held under LD 12 : 12 showed a more consistent increase and remained below those of krill held under LL. No change was recorded for krill exposed to DD; clearance rates and daily C rations did not respond to the high food availability, and oxygen consumption rates and MDH activity were significantly lower (p &lt; 0.05) than those of krill exposed to summer light condition. Thus, changes in the environmental light regime have an important effect on physiological parameters of krill, such as feeding and metabolic rates, and may indicate an inherent overwinter adaptation strategy triggered by the Antarctic light regime.</t>
  </si>
  <si>
    <t>Alfred Wegener Inst Polar &amp; Marine Res, Sci Div Biol Oceanog, D-27570 Bremerhaven, Germany; Australian Antarctic Div, Dept Environm &amp; Heritage, Kingston, Tas 7050, Australia</t>
  </si>
  <si>
    <t>Helmholtz Association; Alfred Wegener Institute, Helmholtz Centre for Polar &amp; Marine Research; Australian Antarctic Division</t>
  </si>
  <si>
    <t>Teschke, M (corresponding author), Alfred Wegener Inst Polar &amp; Marine Res, Sci Div Biol Oceanog, Handelshafen 12, D-27570 Bremerhaven, Germany.</t>
  </si>
  <si>
    <t>mteschke@awi-bremerhaven.de</t>
  </si>
  <si>
    <t>Kawaguchi, So/N-1795-2017; Fanjul-Moles, María Luisa/C-8069-2011; Meyer, Bettina/ABB-5311-2020</t>
  </si>
  <si>
    <t>Fanjul-Moles, María Luisa/0000-0003-2927-0154; Meyer, Bettina/0000-0001-6804-9896; Kawaguchi, So/0000-0002-2042-5095</t>
  </si>
  <si>
    <t>10.4319/lo.2007.52.3.1046</t>
  </si>
  <si>
    <t>170UE</t>
  </si>
  <si>
    <t>WOS:000246690000013</t>
  </si>
  <si>
    <t>McMinn, A; Ryan, KG; Ralph, PJ; Pankowski, A</t>
  </si>
  <si>
    <t>McMinn, A.; Ryan, K. G.; Ralph, P. J.; Pankowski, A.</t>
  </si>
  <si>
    <t>Spring sea ice photosynthesis, primary productivity and biomass distribution in eastern Antarctica, 2002-2004</t>
  </si>
  <si>
    <t>MCMURDO-SOUND; MICROBIAL COMMUNITIES; MICROALGAE; ABUNDANCE; SEDIMENTS; IRRADIANCE; RATES; ALGAE</t>
  </si>
  <si>
    <t>While it is known that Antarctic sea ice biomass and productivity are highly variable over small spatial and temporal scales, there have been very few measurements from eastern Antarctic. Here we attempt to quantify the biomass and productivity and relate patterns of variability to sea ice latitude ice thickness and vertical distribution. Sea ice algal biomass in spring in 2002, 2003 and 2004 was low, in the range 0.01-8.41 mg Chl a m(-2), with a mean and standard deviation of 2.08 +/- 1.74 mg Chl a m(-2) ( n = 199). An increased concentration of algae at the bottom of the ice was most pronounced in thicker ice. There was little evidence to suggest that there was a gradient of biomass distribution with latitude. Maximum in situ production in 2002 was approximately 2.6 mg C m(-2) h(-1) with assimilation numbers of 0.73 mg C ( mg Chl a)(-1) h(-1). Assimilation numbers determined by the 14 C incubations in 2002 varied between 0.031 and 0.457 mg C (mg Chl a)(-1) h(-1). Maximum fluorescence quantum yields of the incubated ice samples in 2002 were 0.470 +/- 0.041 with E-k indices between 19 and 44 mu mol photons m(-2) s(-1). These findings are consistent with the shade-adapted character of ice algal communities. In 2004 maximum in situ production was 5.9 mg C m(-2) h(-1) with an assimilation number of 5.4 mg C (mg Chl a)(-1) h(-1). Sea ice biomass increased with ice thickness but showed no correlation with latitude or the time the ice was collected. Forty-four percent of the biomass was located in bottom communities and these were more commonly found in thicker ice. Surface communities were uncommon.</t>
  </si>
  <si>
    <t>Univ Tasmania, Inst Antarctic &amp; So Ocean Studies, Hobart, Tas 7001, Australia; Univ Victoria, Sch Biol Sci, Victoria, BC V8W 2Y2, Canada; Univ Technol Sydney, Dept Environm Sci, Inst Water &amp; Environm Resource Management, Sydney, NSW, Australia</t>
  </si>
  <si>
    <t>University of Tasmania; University of Victoria; University of Technology Sydney</t>
  </si>
  <si>
    <t>McMinn, A (corresponding author), Univ Tasmania, Inst Antarctic &amp; So Ocean Studies, Private Bag 252-77, Hobart, Tas 7001, Australia.</t>
  </si>
  <si>
    <t>andrew.mcminn@utas.edu.au</t>
  </si>
  <si>
    <t>Ralph, Peter/L-1527-2019; McMinn, Andrew/A-9910-2008; Ryan, Ken/F-5652-2013</t>
  </si>
  <si>
    <t>Ralph, Peter/0000-0002-3103-7346; Ryan, Ken/0000-0001-7075-0112</t>
  </si>
  <si>
    <t>10.1007/s00227-006-0533-8</t>
  </si>
  <si>
    <t>162PB</t>
  </si>
  <si>
    <t>WOS:000246098900015</t>
  </si>
  <si>
    <t>Ward, P; Hirst, AG</t>
  </si>
  <si>
    <t>Ward, P.; Hirst, A. G.</t>
  </si>
  <si>
    <t>Oithona similis in a high latitude ecosystem:: abundance, distribution and temperature limitation of fecundity rates in a sac spawning copepod</t>
  </si>
  <si>
    <t>MARINE PLANKTONIC COPEPODS; ZOOPLANKTON GROWTH-RATES; EGG-PRODUCTION; SOUTHERN-OCEAN; GLOBAL RATES; CALANUS-FINMARCHICUS; EUTROPHIC INLET; CHLOROPHYLL-A; BODY-WEIGHT; WEDDELL SEA</t>
  </si>
  <si>
    <t>In this study we report the abundance, fecundity and an index of the relative survival of Oithona similis (nauplii to copepodites) across a large latitudinal and temperature range within the Southern Ocean. The abundance of O. similis was strongly related to temperature and to depth-integrated (0-100 m) chlorophyll a, abundance increasing with increasing temperature (and therefore decreasing latitude) and Chl a. In situ egg production rates and fecundity per female were also significantly and positively related to temperature and Chl a. Egg hatch times rapidly lengthen as temperature decreases and in sac spawning species the next batch of eggs cannot be produced until the previous clutch hatch. Consequently, we predict that in O. similis, fecundity must decline rapidly at low temperatures, especially below 5 degrees C. A model comparing maximum rates of fecundity with in situ data suggested production rates were strongly food limited across our study region. However, the relationship of in situ and maximum rates to temperature were similar, confirming the importance of temperature. Further, as time taken to develop from egg to adult also rapidly extends with declining temperature, it is increasingly unlikely that O. similis will be able to maintain its population against mortality. Our findings have broad implications for the cold temperature (and hence geographic) limits of O. similis, but also for the distribution of other sac spawning copepods and planktonic species generally.</t>
  </si>
  <si>
    <t>Ward, P (corresponding author), British Antarctic Survey, NERC, High Cross,Madingley Rd, Cambridge CB3 0ET, England.</t>
  </si>
  <si>
    <t>pwar@bas.ac.uk</t>
  </si>
  <si>
    <t>Hirst, Andrew G/A-6296-2013</t>
  </si>
  <si>
    <t>Hirst, Andrew/0000-0001-9132-1886</t>
  </si>
  <si>
    <t>10.1007/s00227-006-0548-1</t>
  </si>
  <si>
    <t>WOS:000246098900025</t>
  </si>
  <si>
    <t>Marx, JC; Collins, T; D'Amico, S; Feller, G; Gerday, C</t>
  </si>
  <si>
    <t>Marx, J-C.; Collins, T.; D'Amico, S.; Feller, G.; Gerday, C.</t>
  </si>
  <si>
    <t>Cold-adapted enzymes from marine antarctic microorganisms</t>
  </si>
  <si>
    <t>MARINE BIOTECHNOLOGY</t>
  </si>
  <si>
    <t>Antarctic; biotechnology; cold adaptation; psychrophiles</t>
  </si>
  <si>
    <t>LOW-TEMPERATURE; CONFORMATIONAL FLEXIBILITY; LOCAL FLEXIBILITY; ESCHERICHIA-COLI; GENOME SEQUENCE; ACTIVE-SITE; SEA-ICE; ADAPTATION; STABILITY; BACTERIUM</t>
  </si>
  <si>
    <t>The Antarctic marine environment is characterized by challenging conditions for the survival of native microorganisms. Indeed, next to the temperature effect represented by the Arrhenius law, the viscosity of the medium, which is also significantly enhanced by low temperatures, contributes to slow down reaction rates. This review analyses the different challenges and focuses on a key element of life at low temperatures: cold-adapted enzymes. The molecular characteristics of these enzymes are discussed as well as the adaptation strategies which can be inferred from the comparison of their properties and three-dimensional structures with those of their mesophilic counterparts. As these enzymes display a high specific activity at low and moderate temperatures associated with a relatively high thermosensitivity, the interest in these properties is discussed with regard to their current and possible applications in biotechnology.</t>
  </si>
  <si>
    <t>Univ Liege, Inst Chem, Chem Lab, B-4000 Liege, Belgium</t>
  </si>
  <si>
    <t>University of Liege</t>
  </si>
  <si>
    <t>Gerday, C (corresponding author), Univ Liege, Inst Chem, Chem Lab, B6, Sart Tilman, B-4000 Liege, Belgium.</t>
  </si>
  <si>
    <t>ch.gerday@ulg.ac.be</t>
  </si>
  <si>
    <t>Collins, Tony/A-3484-2012</t>
  </si>
  <si>
    <t>Collins, Tony/0000-0002-4167-973X</t>
  </si>
  <si>
    <t>1436-2228</t>
  </si>
  <si>
    <t>1436-2236</t>
  </si>
  <si>
    <t>MAR BIOTECHNOL</t>
  </si>
  <si>
    <t>Mar. Biotechnol.</t>
  </si>
  <si>
    <t>10.1007/s10126-006-6103-8</t>
  </si>
  <si>
    <t>Biotechnology &amp; Applied Microbiology; Marine &amp; Freshwater Biology</t>
  </si>
  <si>
    <t>178FW</t>
  </si>
  <si>
    <t>WOS:000247207600001</t>
  </si>
  <si>
    <t>Clapham, PJ; Childerhouse, S; Gales, NJ; Rojas-Bracho, L; Tillman, MF; Brownell, RL</t>
  </si>
  <si>
    <t>Clapham, Phillip J.; Childerhouse, Simon; Gales, Nicolas J.; Rojas-Bracho, Lorenzo; Tillman, Michael F.; Brownell, Robert L., Jr.</t>
  </si>
  <si>
    <t>The whaling issue: Conservation, confusion, and casuistry</t>
  </si>
  <si>
    <t>MARINE POLICY</t>
  </si>
  <si>
    <t>International Whaling Commission; natural resource management; sustainable utilization; whaling; fisheries; whales</t>
  </si>
  <si>
    <t>Morishita's multiple analysis of the whaling issue [Morishita J. Multiple analysis of the whaling issue: Understanding the dispute by a matrix. Marine Policy 2006;30:802-8] is essentially a restatement of the Government of Japan's whaling policy, which confuses the issue through selective use of data, unsubstantiated facts, and the vilification of opposing perspectives. Here, we deconstruct the major problems with Morishita's article and provide an alternative view of the whaling dispute. For many people in this debate, the issue is not that some whales are not abundant, but that the whaling industry cannot be trusted to regulate itself or to honestly assess the status of potentially exploitable populations. This suspicion has its origin in Japan's poor use of science, its often implausible stock assessments, its insistence that culling is an appropriate way to manage marine mammal populations, and its relatively recent falsification of whaling and fisheries catch data combined with a refusal to accept true transparency in catch and market monitoring. Japanese policy on whaling cannot be viewed in isolation, but is part of a larger framework involving a perceived right to secure unlimited access to global marine resources. Whaling is inextricably tied to the international fisheries agreements on which Japan is strongly dependent; thus, concessions made at the IWC would have potentially serious ramifications in other fora. (c) 2006 Elsevier Ltd. All rights reserved.</t>
  </si>
  <si>
    <t>Alaska Fisheries Sci Ctr, Seattle, WA 98115 USA; S Pacific Whale Res Consortium, Rarotonga, Cook Islands; Dept Conservat, Marine Conservat Unit, Wellington, New Zealand; Australian Antarctic Div, Channel Highway, Kingston, Tas 7050, Australia; Inst Nacl Ecol, CICESE, Programa Mamiferos Marinos, Ensenada 22869, Baja California, Mexico; Univ Calif San Diego, Scripps Inst Oceanog, Ctr Marine Biodivers &amp; Conservat, La Jolla, CA 92093 USA; SW Fisheries Sci Ctr, Pacific Grove, CA 93950 USA</t>
  </si>
  <si>
    <t>National Oceanic Atmospheric Admin (NOAA) - USA; Australian Antarctic Division; CICESE - Centro de Investigacion Cientifica y de Educacion Superior de Ensenada; Instituto de Ecologia - Mexico; University of California System; University of California San Diego; Scripps Institution of Oceanography; National Oceanic Atmospheric Admin (NOAA) - USA</t>
  </si>
  <si>
    <t>Clapham, PJ (corresponding author), Alaska Fisheries Sci Ctr, 7600 Sand Point Way NE, Seattle, WA 98115 USA.</t>
  </si>
  <si>
    <t>Phillip.Clapham@noaa.gov</t>
  </si>
  <si>
    <t>0308-597X</t>
  </si>
  <si>
    <t>MAR POLICY</t>
  </si>
  <si>
    <t>Mar. Pol.</t>
  </si>
  <si>
    <t>10.1016/j.marpol.2006.09.004</t>
  </si>
  <si>
    <t>Environmental Studies; International Relations</t>
  </si>
  <si>
    <t>Environmental Sciences &amp; Ecology; International Relations</t>
  </si>
  <si>
    <t>138WK</t>
  </si>
  <si>
    <t>WOS:000244393800010</t>
  </si>
  <si>
    <t>Davis, R</t>
  </si>
  <si>
    <t>Davis, Ruth</t>
  </si>
  <si>
    <t>ENFORCING AUSTRALIAN LAW IN ANTARCTICA: THE HSI LITIGATION</t>
  </si>
  <si>
    <t>MELBOURNE JOURNAL OF INTERNATIONAL LAW</t>
  </si>
  <si>
    <t>Law enforcement in Antarctica is complicated by uncertainties regarding sovereignty and jurisdiction. In line with the usual practice of the Antarctic Treaty parties, Australia has generally refrained from enforcing its legislation for the Australian Antarctic Territory against foreigners. Recent litigation that attempts to enforce Australian whale protection laws against Japanese whalers in Antarctica represents a challenge to this traditional approach. The HSI Litigation highlights the ongoing difficulties faced by Australia in trying to effectively manage the Australian Antarctic Territory within the constraints of the Antarctic Treaty System. Using fisheries regulation and continental shelf delimitation as comparative examples, this commentary highlights the challenges of law enforcement facing the Antarctic legal regime, and the implications for Australian Antarctic law and policy. The traditionally restrained approach to law enforcement in Antarctica has allowed the Antarctic Treaty System to flourish and develop into a dynamic, and arguably quite effective, regime for the environmental protection of Antarctica. This is despite the fundamental disagreements between states over questions of territorial sovereignty. It seems likely that continuation of the HSI Litigation will provoke an international response from Japan, and potentially have further repercussions for the Antarctic Treaty System.</t>
  </si>
  <si>
    <t>[Davis, Ruth] Univ Wollongong, Fac Law, Wollongong, NSW, Australia; [Davis, Ruth] ANCORS, Wollongong, NSW, Australia</t>
  </si>
  <si>
    <t>University of Wollongong</t>
  </si>
  <si>
    <t>Davis, R (corresponding author), Univ Wollongong, Fac Law, Wollongong, NSW, Australia.</t>
  </si>
  <si>
    <t>UNIV MELBOURNE, MELBOURNE LAW SCH</t>
  </si>
  <si>
    <t>MELBOURNE</t>
  </si>
  <si>
    <t>MELBOURNE LAW SCH, MELBOURNE, VIC 3010, AUSTRALIA</t>
  </si>
  <si>
    <t>1444-8602</t>
  </si>
  <si>
    <t>1444-8610</t>
  </si>
  <si>
    <t>MELB J INT LAW</t>
  </si>
  <si>
    <t>Melb. J. Int. Law</t>
  </si>
  <si>
    <t>Law</t>
  </si>
  <si>
    <t>Government &amp; Law</t>
  </si>
  <si>
    <t>V00FY</t>
  </si>
  <si>
    <t>WOS:000213521700006</t>
  </si>
  <si>
    <t>Parish, TR; Bromwich, DH</t>
  </si>
  <si>
    <t>Parish, Thomas R.; Bromwich, David H.</t>
  </si>
  <si>
    <t>Reexamination of the near-surface airflow over the Antarctic continent and implications on atmospheric circulations at high southern latitudes</t>
  </si>
  <si>
    <t>MONTHLY WEATHER REVIEW</t>
  </si>
  <si>
    <t>KATABATIC WINDS; ANNULAR MODES; ADELIE-LAND; ROSS SEA; SYSTEM; FIELD; SIMULATIONS; PRESSURE</t>
  </si>
  <si>
    <t>Previous work has shown that winds in the lower atmosphere over the Antarctic continent are among the most persistent on earth with directions coupled to the underlying ice topography. In 1987, Parish and Bromwich used a diagnostic model to depict details of the Antarctic near-surface airflow. A radially outward drainage pattern off the highest elevations of the ice sheets was displayed with wind speeds that generally increase from the high interior to the coast. These winds are often referred to as katabatic, with the implication that they are driven by radiational cooling of near-surface air over the sloping ice terrain. It has been shown that the Antarctic orography constrains the low-level wind regime through other forcing mechanisms as well. Dynamics of the lower atmosphere have been investigated increasingly by the use of numerical models since the observational network over the Antarctic remains quite sparse. Real-time numerical weather prediction for the U. S. Antarctic Program has been ongoing since the 2000-01 austral summer season via the Antarctic Mesoscale Prediction System (AMPS). AMPS output, which is based on a polar optimized version of the fifth-generation Pennsylvania State University-National Center for Atmospheric Research Mesoscale Model, is used for a 1-yr period from June 2003 to May 2004 to investigate the mean annual and seasonal airflow patterns over the Antarctic continent to compare with previous streamline depictions. Divergent outflow from atop the continental interior implies that subsidence must exist over the continent and a direct thermal circulation over the high southern latitudes results. Estimates of the north-south mass fluxes are obtained from the mean airflow patterns to infer the influence of the elevated ice sheets on the mean meridional circulation over Antarctica.</t>
  </si>
  <si>
    <t>Univ Wyoming, Dept Atmospher Sci, Laramie, WY 82071 USA; Ohio State Univ, Byrd Polar Res Ctr, Polar Meteorol Grp, Columbus, OH 43210 USA</t>
  </si>
  <si>
    <t>University of Wyoming; University System of Ohio; Ohio State University</t>
  </si>
  <si>
    <t>Parish, TR (corresponding author), Univ Wyoming, Dept Atmospher Sci, Laramie, WY 82071 USA.</t>
  </si>
  <si>
    <t>parish@uwyo.edu</t>
  </si>
  <si>
    <t>Bromwich, David H/C-9225-2016</t>
  </si>
  <si>
    <t>0027-0644</t>
  </si>
  <si>
    <t>1520-0493</t>
  </si>
  <si>
    <t>MON WEATHER REV</t>
  </si>
  <si>
    <t>Mon. Weather Rev.</t>
  </si>
  <si>
    <t>10.1175/MWR3374.1</t>
  </si>
  <si>
    <t>166GP</t>
  </si>
  <si>
    <t>WOS:000246366700019</t>
  </si>
  <si>
    <t>Nasborg, RR; Ekman, S; Tibell, L</t>
  </si>
  <si>
    <t>Nasborg, Rikke Reese; Ekman, Stefan; Tibell, Leif</t>
  </si>
  <si>
    <t>Molecular phylogeny of the genus Lecania (Ramalinaceae, lichenized Ascomycota)</t>
  </si>
  <si>
    <t>MYCOLOGICAL RESEARCH</t>
  </si>
  <si>
    <t>ITS region; Lecanorales; lichens; MCMC; RNA polymerase II second; largest subunit; SSU mt-rRNA gene</t>
  </si>
  <si>
    <t>BAYESIAN POSTERIOR PROBABILITIES; SSU RDNA; BOOTSTRAP; INFERENCE; PRIMERS; MODEL; AMPLIFICATION; SELECTION; MRBAYES; TREES</t>
  </si>
  <si>
    <t>The molecular phylogeny of the lichen genus Lecania was investigated using nucleotide sequences from the mt-SSU rRNA, the ITS region of the nu-YDNA, and the RNA polymerase II second largest subunit. Forty-six species representing Lecania and other genera likely to influence the phylogeny were included in the study. Phylogenetic reconstructions were carried out using Bayesian inference, ML, and MP approaches. Lecania, as traditionally circumscribed, is not a monophyletic genus. However, a monophyletic group containing a large number of Lecania species, including the type species L. fuscella, was discovered in the analysis, and recognition of Lecania sensu stricto is suggested. L. baeomma, L. glauca, L. gerlachei, L. brialmontii, L. racovitzae, L. hyalina (alias Biatora globulosa), L. chlorotiza, L. naegelii, and L. furfuracea do not belong in Lecania s. str., although the latter two are closely related to Lecania s. str. Representatives of the genus Bilimbia form a well-supported group, as does the 'Thamnolecania' group containing the Antarctic Tecania' species, L. gerlachei, L. brialmontii, and L. racovitzae. An alternative to recognizing these two genera would be a wider circumscription of Bilimbia to include the 'Thamnolecania' group as well as affiliated taxa. (c) 2007 The British Mycological Society. Published by Elsevier Ltd. All rights reserved.</t>
  </si>
  <si>
    <t>Uppsala Univ, Evolutionary Biol Ctr, SE-75236 Uppsala, Sweden; Univ Bergen, Dept Biol, N-5007 Bergen, Norway; Uppsala Univ, Museum Evolut, SE-75236 Uppsala, Sweden</t>
  </si>
  <si>
    <t>Uppsala University; University of Bergen; Uppsala University</t>
  </si>
  <si>
    <t>Nasborg, RR (corresponding author), Uppsala Univ, Evolutionary Biol Ctr, Norbyvagen 18D, SE-75236 Uppsala, Sweden.</t>
  </si>
  <si>
    <t>rikke.reese-naesborg@ebc.uu.se</t>
  </si>
  <si>
    <t>Reese Naesborg, Rikke/0000-0001-8187-1040; Tibell, Leif/0000-0002-8629-7989</t>
  </si>
  <si>
    <t>0953-7562</t>
  </si>
  <si>
    <t>MYCOL RES</t>
  </si>
  <si>
    <t>Mycol. Res.</t>
  </si>
  <si>
    <t>10.1016/j.mycres.2007.03.001</t>
  </si>
  <si>
    <t>Mycology</t>
  </si>
  <si>
    <t>187RM</t>
  </si>
  <si>
    <t>WOS:000247865900005</t>
  </si>
  <si>
    <t>Frid, A; Heithaus, MR; Dill, LM</t>
  </si>
  <si>
    <t>Frid, Alejandro; Heithaus, Michael R.; Dill, Lawrence M.</t>
  </si>
  <si>
    <t>Dangerous dive cycles and the proverbial ostrich</t>
  </si>
  <si>
    <t>MEDIATED INDIRECT INTERACTIONS; SEALS PHOCA-VITULINA; ANTARCTIC FUR SEALS; DIVING BEHAVIOR; NEW-ZEALAND; HARBOR SEALS; FORAGING STRATEGIES; OPTIMAL ALLOCATION; SEASONAL-CHANGES; SWIMMING SPEED</t>
  </si>
  <si>
    <t>Data rarely are available to address the level of predation risk faced by diving animals in different parts of the water column. Consequently, most published research on diving behaviour implicitly assumes - like the proverbial ostrich - that 'unseen' predators are functionally unimportant. We argue that failure to consider diving in a predation risk framework may have precluded many insights into the ecology of aquatic foragers that breathe air. Using existing literature and a simple model, we suggest that fear from submerged predators in several systems might be influencing patch residence time, and therefore the duration of other dive cycle components. These analyses, along with an earlier model of predation risk faced by diving animals at the surface, suggest that dive cycle organisation can be modified to increase safety from predators, but only at the cost of reduced energy gain. Theoretical arguments presented here can seed hypotheses on factors contributing to population declines of diving species. For instance, adjustments to the dive cycle that reduce predation risk might be unaffordable if resources are scarce. Thus, if animals are to avoid imminent starvation or substantial loss of reproductive potential, resource declines might indirectly increase predation rates by limiting the extent to which dive cycles can deviate from those that would maximize energy gain. We hope that ideas presented in this paper stimulate other researchers to further develop theory and test predictions on how predation risk might influence diving behaviour and its ecological consequences.</t>
  </si>
  <si>
    <t>Simon Fraser Univ, Dept Biol Sci, Burnaby, BC V5A 1S6, Canada; Florida Int Univ, Dept Sci Biol, Marine Biol Program, N Miami, FL 33181 USA</t>
  </si>
  <si>
    <t>Simon Fraser University; State University System of Florida; Florida International University</t>
  </si>
  <si>
    <t>Frid, A (corresponding author), 352 Creek Rd,RR1 I27, Bowen Isl, BC V0N 1G0, Canada.</t>
  </si>
  <si>
    <t>alejandro_frid@alumni.sfu.ca</t>
  </si>
  <si>
    <t>Heithaus, Michael/AAF-9914-2020</t>
  </si>
  <si>
    <t>Heithaus, Michael/0000-0002-3219-1003</t>
  </si>
  <si>
    <t>10.1111/j.2007.0030-1299.15766.x</t>
  </si>
  <si>
    <t>158SJ</t>
  </si>
  <si>
    <t>WOS:000245814500018</t>
  </si>
  <si>
    <t>Zacher, K; Roleda, MY; Hanelt, D; Wiencke, C</t>
  </si>
  <si>
    <t>Zacher, Katharina; Roleda, Michael Y.; Hanelt, Dieter; Wiencke, Christian</t>
  </si>
  <si>
    <t>UV effects on photosynthesis and DNA in propagules of three Antarctic seaweeds (Adenocystis utricularis, Monostroma hariotii and Porphyra endiviifolium)</t>
  </si>
  <si>
    <t>PLANTA</t>
  </si>
  <si>
    <t>Antarctica; DNA damage; photosynthetic efficiency; P-I curve; propagules; UV radiation</t>
  </si>
  <si>
    <t>ULTRAVIOLET-RADIATION; DEPTH DISTRIBUTION; ARCTIC MACROALGAE; LIGHT; GROWTH; RECRUITMENT; ZOOSPORES; STRESS; KELPS; PHOTOINHIBITION</t>
  </si>
  <si>
    <t>Ozone depletion is highest during spring and summer in Antarctica, coinciding with the seasonal reproduction of most macroalgae. Propagules are the life-stage of an alga most susceptible to environmental perturbations therefore, reproductive cells of three intertidal macroalgal species Adenocystis utricularis (Bory) Skottsberg, Monostroma hariotii Gain, and Porphyra endiviifolium (A and E Gepp) Chamberlain were exposed to photosynthetically active radiation (PAR), PAR + UV-A and PAR + UV-A + UV-B radiation in the laboratory. During 1, 2, 4, and 8 h of exposure and after 48 h of recovery, photosynthetic efficiency, and DNA damage were determined. Saturation irradiance of freshly released propagules varied between 33 and 83 mu mol photons m(-2) stop s(-1) stop with lowest values in P. endiviifolium and highest values in M. hariotii. Exposure to 22 mu mol photons m(-2) stop s(-1) stopPAR significantly reduced photosynthetic efficiency in P. endiviifolium and M. hariotii, but not in A. utricularis. UV radiation (UVR) further decreased the photosynthetic efficiency in all species but all propagules recovered completely after 48 h. DNA damage was minimal or not existing. Repeated exposure of A. utricularis spores to 4 h of UVR daily did not show any acclimation of photosynthesis to UVR but fully recovered after 20 h. UVR effects on photosynthesis are shown to be species-specific. Among the tested species, A. utricularis propagules were the most light adapted. Propagules obviously possess good repair and protective mechanisms. Our study indicates that the applied UV dose has no long-lasting negative effects on the propagules, a precondition for the ecological success of macroalgal species in the intertidal.</t>
  </si>
  <si>
    <t>Alfred Wegener Inst Polar &amp; Marine Res, D-27570 Bremerhaven, Germany; Alfred Wegener Inst Polar &amp; Marine Res, Biol Anstalt Helgoland, D-27498 Helgoland, Germany; Univ Hamburg, Biozentrum Klein Flottbek, D-22609 Hamburg, Germany; Alfred Wegener Inst Polar &amp; Marine Res, D-27570 Bremerhaven, Germany</t>
  </si>
  <si>
    <t>Helmholtz Association; Alfred Wegener Institute, Helmholtz Centre for Polar &amp; Marine Research; Helmholtz Association; Alfred Wegener Institute, Helmholtz Centre for Polar &amp; Marine Research; University of Hamburg; Helmholtz Association; Alfred Wegener Institute, Helmholtz Centre for Polar &amp; Marine Research</t>
  </si>
  <si>
    <t>kzacher@awi-bremerhaven.de</t>
  </si>
  <si>
    <t>Hanelt, Dieter/E-6659-2017; Roleda, Michael Y./H-9645-2019</t>
  </si>
  <si>
    <t>Roleda, Michael Y./0000-0003-0568-9081</t>
  </si>
  <si>
    <t>0032-0935</t>
  </si>
  <si>
    <t>1432-2048</t>
  </si>
  <si>
    <t>Planta</t>
  </si>
  <si>
    <t>10.1007/s00425-006-0436-4</t>
  </si>
  <si>
    <t>159GF</t>
  </si>
  <si>
    <t>WOS:000245852700015</t>
  </si>
  <si>
    <t>Andrássy, I; Gibson, JAE</t>
  </si>
  <si>
    <t>Andrassy, Istvan; Gibson, John A. E.</t>
  </si>
  <si>
    <t>Nematodes from saline and freshwater lakes of the Vestfold Hills, East Antarctica, including the description of Hypodontolaimus antarcticus sp n.</t>
  </si>
  <si>
    <t>nematoda; Halomonhystera; Hypodontolaimus; Plectus; East Antarctica; saline lakes</t>
  </si>
  <si>
    <t>NUNATAK BASEN; BASTIAN 1865; GENUS; PLECTIDAE; EVOLUTION; ANDRASSY</t>
  </si>
  <si>
    <t>The invertebrate fauna of many Antarctic ice-free areas, even those close to permanent research stations, can be poorly known. Here we describe some nematodes from freshwater and saline, marine-derived lakes of the Vestfold Hills, East Antarctica. The freshwater lakes contained the widespread East Antarctic endemic species, Plectus frigophilus Kirjanova, 1958. The saline lakes were inhabited by two recently described species, Halomonhystera halophila Andrassy, 2006 and Halomonhystera continentalis Andrassy, 2006, and by a new species described in this report, Hypodontolaimus antarcticus sp. n. Originally marine but now brackish Highway Lake contained a nematode fauna with both freshwater and marine-derived components. The nematode fauna of Antarctica now consists of 54 named species, 22 of which are found in East Antarctica.</t>
  </si>
  <si>
    <t>Univ Tasmania, Inst Antarctic &amp; So Ocean Studies, Hobart, Tas 7001, Australia; Eotvos Lorand Univ, Dept Systemat Zool &amp; Ecol, Zootaxon Res Grp, Hungarian Acad Sci, H-1117 Budapest, Hungary; Univ Tasmania, Sch Zool, Hobart, Tas 7001, Australia</t>
  </si>
  <si>
    <t>University of Tasmania; Eotvos Lorand University; Hungarian Academy of Sciences; University of Tasmania</t>
  </si>
  <si>
    <t>10.1007/s00300-006-0224-4</t>
  </si>
  <si>
    <t>162PN</t>
  </si>
  <si>
    <t>WOS:000246100200001</t>
  </si>
  <si>
    <t>Kawaguchi, S; Yoshida, T; Finley, L; Cramp, P; Nicol, S</t>
  </si>
  <si>
    <t>Kawaguchi, So; Yoshida, Toshihiro; Finley, Luke; Cramp, Paul; Nicol, Stephen</t>
  </si>
  <si>
    <t>The krill maturity cycle: a conceptual model of the seasonal cycle in Antarctic krill</t>
  </si>
  <si>
    <t>EUPHAUSIA-SUPERBA CRUSTACEA; MEGANYCTIPHANES-NORVEGICA; OVERWINTERING STRATEGY; GROWTH EFFICIENCY; NORTHERN KRILL; MOLT CYCLE; TEMPERATURE; MATURATION; METABOLISM; FECUNDITY</t>
  </si>
  <si>
    <t>A long-term study on the maturity cycle of Antarctic krill was conducted in a research aquarium. Antarctic krill were either kept individually or in groups for 8 months under different temperature and food conditions, and the succession of female maturity stages and intermoult periods were observed. In all cases regression and re-maturation of external sexual characteristics were observed, but there were differences in length of the cycle and intermoult periods between the experimental conditions. Based on these results, and information available from previous studies, we suggest a conceptual model describing seasonal cycle of krill physiology which provides a framework for future studies and highlight the importance of its link to the timings of the environmental conditions.</t>
  </si>
  <si>
    <t>Australian Govt Antarctic Div, Dept Environm &amp; Heritage, Kingston, Tas 7050, Australia; Univ Tasmania, IASOS, Hobart, Tas 7001, Australia; Univ Melbourne, Dept Zool, Melbourne, Vic 3010, Australia</t>
  </si>
  <si>
    <t>Australian Antarctic Division; University of Tasmania; University of Melbourne; Melbourne Bioinformatics</t>
  </si>
  <si>
    <t>Kawaguchi, S (corresponding author), Australian Govt Antarctic Div, Dept Environm &amp; Heritage, 203 Channel Highway, Kingston, Tas 7050, Australia.</t>
  </si>
  <si>
    <t>10.1007/s00300-006-0226-2</t>
  </si>
  <si>
    <t>WOS:000246100200003</t>
  </si>
  <si>
    <t>Pociecha, A</t>
  </si>
  <si>
    <t>Pociecha, Agnieszka</t>
  </si>
  <si>
    <t>Effect of temperature on the respiration of an Antarctic freshwater anostracan, Branchinecta gaini Daday 1910, in field experiments</t>
  </si>
  <si>
    <t>respiration; Branchinecta gaini; Antarctic lake; temperature</t>
  </si>
  <si>
    <t>CLIMATE-CHANGE; CRUSTACEA; MODEL</t>
  </si>
  <si>
    <t>The Antarctic crustacean Branchinecta gaini (Branchiopoda, Anostraca) occurs in nine fresh water lakes near the Polish H. Arctowski Station. In one of the largest, Lake Wujka (Lake Uncle in English), we determined how temperatures affect its respiration and whether this is sex dependent. Experiments were carried out on males and females bearing eggs over a range of temperatures from 0.5 to 10 degrees C. An ANOVA showed that while the amount of oxygen consumed increased with temperature (P &lt; 0.001) males consumed more oxygen than similarly-sized females bearing eggs (P &lt; 0.001).</t>
  </si>
  <si>
    <t>Polish Acad Sci, Inst Nat Conservat, Dept Freshwater Biol, PL-31120 Krakow, Poland; Polish Acad Sci, Dept Antarct Biol, PL-02141 Warsaw, Poland</t>
  </si>
  <si>
    <t>Polish Academy of Sciences; Polish Academy of Sciences</t>
  </si>
  <si>
    <t>Pociecha, A (corresponding author), Polish Acad Sci, Inst Nat Conservat, Dept Freshwater Biol, A Mickiewicz Av 33, PL-31120 Krakow, Poland.</t>
  </si>
  <si>
    <t>pociecha@iop.krakow.pl</t>
  </si>
  <si>
    <t>Pociecha, Agnieszka/0000-0002-0208-8806</t>
  </si>
  <si>
    <t>10.1007/s00300-006-0230-6</t>
  </si>
  <si>
    <t>WOS:000246100200007</t>
  </si>
  <si>
    <t>Smale, DA; Barnes, DKA; Fraser, KPP</t>
  </si>
  <si>
    <t>Smale, Dan A.; Barnes, David K. A.; Fraser, Keiron P. P.</t>
  </si>
  <si>
    <t>The influence of depth, site exposure and season on the intensity of iceberg scouring in nearshore Antarctic waters</t>
  </si>
  <si>
    <t>ice; disturbance; benthos; mortality; scour</t>
  </si>
  <si>
    <t>SUBLITTORAL EPIFAUNAL COMMUNITIES; SOUTH-ORKNEY ISLANDS; KING GEORGE ISLAND; ICE-FOOT ZONE; SIGNY ISLAND; POPULATION-STRUCTURE; BENTHIC COMMUNITIES; WEDDELL SEA; DISTURBANCE; IMPACT</t>
  </si>
  <si>
    <t>Ice scour disturbance has a significant effect on the physical and biological characteristics of polar benthos. A series of grids, each consisting of 25 markers, were deployed along depth transects and replicated at two contrasting study sites at Adelaide Island, West Antarctic Peninsula. Markers were surveyed and replaced every 3 months for 2 years in order to assess the frequency and intensity of iceberg impacts. Depth, site, season and year were all highly significant factors influencing ice scouring frequency. We observed a high variation in the duration of winter fast ice between sites and years, which had a marked effect on ice scouring frequency. The ecological effects of the disturbance regime are likely to include depth zonation of benthic assemblages, patchiness of communities at varying stages of recovery and the near denudation of sessile fauna in the shallow subtidal.</t>
  </si>
  <si>
    <t>Smale, DA (corresponding author), British Antarctic Survey, NERC, Madingley Rd,High Cross, Cambridge CB3 0ET, England.</t>
  </si>
  <si>
    <t>dasma@bas.ac.uk</t>
  </si>
  <si>
    <t>Smale, Daniel/Y-2909-2019; Smale, Dan A/B-3240-2011</t>
  </si>
  <si>
    <t>Smale, Daniel/0000-0003-4157-541X;</t>
  </si>
  <si>
    <t>10.1007/s00300-006-0236-0</t>
  </si>
  <si>
    <t>WOS:000246100200011</t>
  </si>
  <si>
    <t>Johnston, EL; Connell, SD; Irving, AD; Pile, AJ; Gillanders, BM</t>
  </si>
  <si>
    <t>Johnston, Emma L.; Connell, Sean D.; Irving, Andrew D.; Pile, Adele J.; Gillanders, Bronwyn M.</t>
  </si>
  <si>
    <t>Antarctic patterns of shallow subtidal habitat and inhabitants in Wilke's Land</t>
  </si>
  <si>
    <t>rocky-coast; macroalgae; invertebrates; ice-cover; Antarctica; community structure; ice-sheets</t>
  </si>
  <si>
    <t>SUBLITTORAL EPIFAUNAL COMMUNITIES; KING-GEORGE ISLAND; SIGNY-ISLAND; MACROALGAE; COVER; ICE; ASSEMBLAGES; ZONATION; BIOMASS; SOUND</t>
  </si>
  <si>
    <t>Studies of east Antarctic marine assemblages on hard substrata are rare. In relation to sea-ice breakout, we assessed benthic patterns of habitat and inhabitants between islands and bays at each of two depths (6 and 12 m) across the Windmill Islands coast. Island sites experience sea-ice breakout in the austral spring, while bay sites typically retain sea-ice cover into the summer and in some places the cover is virtually permanent. Composition of assemblages differed between sheltered bays and exposed islands. Islands were dominated by macroalgae, which also varied with depth. Immediately below the ice-foot zone at 6 m, substratum space were monopolised by foliose red (Palmaria decipiens) and foliose brown (Desmarestia sp.) algae, whereas at 12 m large canopies of Himantothallus grandifolius was abundant. The understorey consisted of a mixture of turfs and encrusting red algae at 6 m, and coralline algae at 12 m. Sheltered bays had large areas of sediment/algal complex and no canopy-forming macroalgae. We found more sponges and hydroids in bays, and more brittle stars around islands. Experiments testing factors that covary with exposure and depth in Antarctica, such as light, sedimentation and ice scour are necessary to determine processes that maintain these striking patterns.</t>
  </si>
  <si>
    <t>Univ New S Wales, Sch Biol Earth &amp; Environm Sci, Sydney, NSW 2052, Australia; Univ Adelaide, So Seas Ecol Labs, Sch Earth &amp; Atmospher Sci, Adelaide, SA 5005, Australia; Univ Sydney, Sch Biol Sci, Sydney, NSW 2006, Australia</t>
  </si>
  <si>
    <t>University of New South Wales Sydney; University of Adelaide; University of Sydney</t>
  </si>
  <si>
    <t>Johnston, EL (corresponding author), Univ New S Wales, Sch Biol Earth &amp; Environm Sci, Sydney, NSW 2052, Australia.</t>
  </si>
  <si>
    <t>e.johnston@unsw.edu.au</t>
  </si>
  <si>
    <t>Connell, Sean D/A-8874-2008; Johnston, Emma/AAC-2878-2022; Gillanders, Bronwyn/B-4218-2013</t>
  </si>
  <si>
    <t>Connell, Sean D/0000-0002-5350-6852; Johnston, Emma/0000-0002-2117-366X; Gillanders, Bronwyn/0000-0002-7680-2240; Irving, Andrew/0000-0002-9763-2148</t>
  </si>
  <si>
    <t>10.1007/s00300-006-0237-z</t>
  </si>
  <si>
    <t>WOS:000246100200012</t>
  </si>
  <si>
    <t>Macdonald, JA</t>
  </si>
  <si>
    <t>Macdonald, John A.</t>
  </si>
  <si>
    <t>Minimal levels of cold-adaptation in postsynaptic currents of a subantarctic teleost, Notothenia rossii (Perciformes: Notothenioidei: Nototheniidae)</t>
  </si>
  <si>
    <t>synaptic; MEPC; teleost; temperature compensation; subantarctic; Notothenia rossii; notothenioid</t>
  </si>
  <si>
    <t>TEMPERATURE COMPENSATION; EXTRAOCULAR-MUSCLE; MEMBRANE FLUIDITY; NERVOUS-SYSTEM; FISH; ACCLIMATION; ACETYLCHOLINE; POIKILOTHERMS; CONDUCTANCE; DEPENDENCE</t>
  </si>
  <si>
    <t>As a part of the ICEFISH04 project on the RVIB Nathaniel B. Palmer, miniature end plate currents (MEPCs) were recorded from the extraocular muscles of Notothenia rossii captured at King Edward Point, South Georgia. A total of 1,176 MEPCs were recorded from the inferior oblique extraocular muscles of four specimens, over a temperature range of 1-12 degrees C. The MEPCs were normal in form, with a rapid quasi-linear increase in inward current (typically &lt; 500 mu s), followed by a slower exponential decay of the inward current to baseline. Exponential decay rates were calculated for individual MEPCs by linear regression of the log-transformed data, and converted to exponential time constants (tau). Only those MEPCs that fit the exponential model well, with r(2) &gt;= 0.95 (or in some cases r(2) &gt;= 0.99) were used for further calculations. At temperatures between 1 and 2 degrees C, tau ranged from about 2,000 to 4,000 mu s, similar to values extrapolated for temperate teleosts at the same temperature, but significantly longer than tau from MEPCs of high-latitude Antarctic nototheniids. Between 11 and 12 degrees C, tau values for the N. rossii MEPCS were mainly between 1,100 and 1,700 mu s, giving a Q(10) of 2.05. An Arrhenius plot and linear regression were used to describe the effect of changing temperature on the decay phase of the N. rossii MEPCs: -ln tau = 27.887-6078/K, yielding an Arrhenius temperature coefficient (mu or apparent E-a) of -50.5 +/- 2.9 (95% CL) kJ mol(-1) deg(-1). When compared with other nototheniids, these results showed that the neuromuscular junctions of N. rossii are compensated for low temperature, but not to the same degree as those of high Antarctic species.</t>
  </si>
  <si>
    <t>Univ Auckland, Evolut Ecol &amp; Behav Grp, Sch Biol Sci, Auckland 1, New Zealand</t>
  </si>
  <si>
    <t>University of Auckland</t>
  </si>
  <si>
    <t>Macdonald, JA (corresponding author), Univ Auckland, Evolut Ecol &amp; Behav Grp, Sch Biol Sci, Private Bag 92019, Auckland 1, New Zealand.</t>
  </si>
  <si>
    <t>ja.macdonald@auckland.ac.nz</t>
  </si>
  <si>
    <t>10.1007/s00300-006-0239-x</t>
  </si>
  <si>
    <t>WOS:000246100200014</t>
  </si>
  <si>
    <t>Arzel, O; de Verdière, AC; Huck, T</t>
  </si>
  <si>
    <t>Arzel, Olivier; de Verdiere, Alain Colin; Huck, Thierry</t>
  </si>
  <si>
    <t>On the origin of interdecadal oscillations in a coupled ocean-atmosphere model</t>
  </si>
  <si>
    <t>TELLUS SERIES A-DYNAMIC METEOROLOGY AND OCEANOGRAPHY</t>
  </si>
  <si>
    <t>THERMOHALINE CIRCULATION VARIABILITY; STATISTICAL-DYNAMIC-MODEL; NORTH-ATLANTIC; GENERAL-CIRCULATION; DECADAL VARIABILITY; MULTIPLE EQUILIBRIA; HEAT; PARAMETERIZATION; FLUX; CONVECTION</t>
  </si>
  <si>
    <t>Interdecadal oscillations are analysed in a coupled ocean-atmosphere model made of a planetary geostrophic ocean model within an idealized geometry, coupled to a zonally-averaged tropospheric atmosphere model. The interdecadal variability that arises spontaneously in this coupled system is caused by intrinsic ocean dynamics, the coupled air-sea feedbacks being not essential. The spatial pattern of the variability bears some resemblance with observations and results obtained with atmosphere-ocean general circulation models (AOGCMs) as well as simpler climate models: large and quasi-stationary upper ocean temperature-dominated density anomalies are found in the north-western part of the ocean basin along with weaker, westward propagating anomalies in the remaining interior. The basic physical mechanism that lies at the heart of the existence of the interdecadal mode is a large-scale baroclinic instability of the oceanic mean flow in the vicinity of the western boundary, characteristic of ocean models forced by constant surface fluxes. Freshwater feedbacks associated with the hydrological cycle are found to have only a modest influence on the interdecadal mode. The presence of a periodic channel mimicking the Antarctic Circumpolar Current at high southern latitudes prevents the oceanic baroclinic instability to occur in the Southern Hemisphere.</t>
  </si>
  <si>
    <t>Univ New S Wales, Environm Dynam Lab, Sch Math &amp; Stat, Sydney, NSW 2052, Australia; Univ Bretagne Occidentale, Lab Phys Oceans, F-29238 Brest 3, France</t>
  </si>
  <si>
    <t>University of New South Wales Sydney; Universite de Bretagne Occidentale; Centre National de la Recherche Scientifique (CNRS); Ifremer; Institut de Recherche pour le Developpement (IRD)</t>
  </si>
  <si>
    <t>Arzel, O (corresponding author), Univ New S Wales, Environm Dynam Lab, Sch Math &amp; Stat, Sydney, NSW 2052, Australia.</t>
  </si>
  <si>
    <t>o.arzel@unsw.edu.au</t>
  </si>
  <si>
    <t>Arzel, Olivier/L-6636-2015; Huck, Thierry/L-5549-2015</t>
  </si>
  <si>
    <t>Huck, Thierry/0000-0002-2885-5153</t>
  </si>
  <si>
    <t>STOCKHOLM UNIV PRESS</t>
  </si>
  <si>
    <t>STOCKHOLM</t>
  </si>
  <si>
    <t>STOCKHOLM UNIV LIBRARY, UNIVERSITETSVAGEN 14 D, STOCKHOLM, SE-106 91, SWEDEN</t>
  </si>
  <si>
    <t>1600-0870</t>
  </si>
  <si>
    <t>TELLUS A</t>
  </si>
  <si>
    <t>Tellus Ser. A-Dyn. Meteorol. Oceanogr.</t>
  </si>
  <si>
    <t>10.1111/j.1600-0870.2007.00227.x</t>
  </si>
  <si>
    <t>157CZ</t>
  </si>
  <si>
    <t>WOS:000245697500008</t>
  </si>
  <si>
    <t>Utevsky, SY; Utevsky, AY; Schiaparelli, S; Trontelj, P</t>
  </si>
  <si>
    <t>Utevsky, Serge Y.; Utevsky, Andrei Y.; Schiaparelli, Stefano; Trontelj, Peter</t>
  </si>
  <si>
    <t>Molecular phylogeny of pontobdelline leeches and their place in the descent of fish leeches (Hirudinea, Piscicolidae)</t>
  </si>
  <si>
    <t>ZOOLOGICA SCRIPTA</t>
  </si>
  <si>
    <t>MITOCHONDRIAL GENE-SEQUENCES; NUCLEAR; OLIGOCHAETA; CONGRUENCE; ACCURACY; TAXONOMY; ANNELIDA</t>
  </si>
  <si>
    <t>Phylogenetic relationships of all genera of the fish leech subfamily Pontobdellinae were investigated using mitochondrial (12S rDNA, COI, tRNA-Leu, ND1) and nuclear (28S rDNA) DNA sequences under maximum likelihood, Bayesian inference and parsimony. All methods resulted in trees that corroborated the monophyly of the family Piscicolidae, but recovered their subfamily Pontobdellinae as non-monophyletic. Based on the basal position of the giant Antarctic Megaliobdella szidati, it is hypothesized that the putative ancestor of fish leeches was a free-ranging, large bodied, muscular leech. The next branch contains parasites of cartilaginous fishes, Pontobdella muricata and Pontobdella macrothela. Two remaining genera of the subfamily (the Arctic Oxytonostoma and the Antarctic Moorebdellina) showed weak affinities to other piscicolid taxa. The obtained phylogenetic hypothesis suggests a possible transition from an ancestral free-ranging life style and temporary parasitism, to parasitism on cartilaginous fishes, followed by parasitism on bony fishes.</t>
  </si>
  <si>
    <t>VN Karazin Karkiv Natl Univ, Dept Zool &amp; Anim Ecol, UA-61077 Kharkov, Ukraine; Univ Genoa, MNA, I-16132 Genoa, Italy; Univ Ljubljana, Biotech Fac, Dept Biol, Ljubljana 1001, Slovenia</t>
  </si>
  <si>
    <t>Ministry of Education &amp; Science of Ukraine; VN Karazin Kharkiv National University; University of Genoa; University of Ljubljana</t>
  </si>
  <si>
    <t>Utevsky, SY (corresponding author), VN Karazin Karkiv Natl Univ, Dept Zool &amp; Anim Ecol, Maidan Svobody 4, UA-61077 Kharkov, Ukraine.</t>
  </si>
  <si>
    <t>sutevsk@univer.kharkov.ua; autevsk@univer.kharkov.ua; schiaparelli.mna@unige.it; peter.trontelj@bf.uni-lj.si</t>
  </si>
  <si>
    <t>Schiaparelli, Stefano/AAI-4024-2020; Utevsky, Serge/HJA-1084-2022</t>
  </si>
  <si>
    <t>Schiaparelli, Stefano/0000-0002-0137-3605; Utevsky, Serge/0000-0003-1290-6742; Utevsky, Andriy/0000-0002-8336-1105</t>
  </si>
  <si>
    <t>0300-3256</t>
  </si>
  <si>
    <t>1463-6409</t>
  </si>
  <si>
    <t>ZOOL SCR</t>
  </si>
  <si>
    <t>Zool. Scr.</t>
  </si>
  <si>
    <t>10.1111/j.1463-6409.2007.00279.x</t>
  </si>
  <si>
    <t>Evolutionary Biology; Zoology</t>
  </si>
  <si>
    <t>156UY</t>
  </si>
  <si>
    <t>WOS:000245676600005</t>
  </si>
  <si>
    <t>Amemiya, K; Hirabayashi, M; Ishikawa, H; Fukui, Y; Hochi, S</t>
  </si>
  <si>
    <t>Amemiya, K.; Hirabayashi, M.; Ishikawa, H.; Fukui, Y.; Hochi, S.</t>
  </si>
  <si>
    <t>The ability of whale haploid spermatogenic cells to induce calcium oscillations and its relevance to oocyte activation</t>
  </si>
  <si>
    <t>ZYGOTE</t>
  </si>
  <si>
    <t>Ca2+ oscillations; Minke whale; mouse assay; SOAF; spermiogenesis</t>
  </si>
  <si>
    <t>INTRACYTOPLASMIC INJECTION; CA2+ OSCILLATIONS; ROUND SPERMATIDS; EMBRYOS; EGGS; FERTILIZATION; INCREASES; MONKEYS; ZETA</t>
  </si>
  <si>
    <t>Interspecies microinsemination assay was applied to examine the ability of minke whale haploid spermatogenic cells to induce Ca2+ oscillations and oocyte activation. Populations of round spermatids (e-ES), early-stage elongating spermatids (e-ES), late-stage elongating spermatids (1-ES) and testicular spermatozoa (TS) were cryopreserved in the presence of 7.5% glycerol on board ship in the Antarctic Ocean. Repetitive increases of intracellular Ca2+ concentration occurred in 0, 65, 81 and 96% of BDF1 mouse oocytes injected with the postthaw RS, e-ES, 1-ES and TS, respectively. A normal pattern of the Ca2+ oscillations was observed in 26-47% of the responding oocytes. Most oocytes that exhibited Ca2+ oscillations, regardless of the oscillation pattern, resumed meiosis (83-94%). These results indicate that whale spermatogenic cells acquire SOAF activity, which is closely related to their Ca2+ oscillation-inducing ability at the relatively early stage of spermiogenesis.</t>
  </si>
  <si>
    <t>Shinshu Univ, Fac Text Sci &amp; Technol, Ueda, Nagano 3868567, Japan; Natl Inst Physiol Sci, Aichi, Japan; Inst Cetacean Res, Tokyo, Japan</t>
  </si>
  <si>
    <t>Shinshu University; National Institutes of Natural Sciences (NINS) - Japan; National Institute for Physiological Sciences (NIPS)</t>
  </si>
  <si>
    <t>Hochi, S (corresponding author), Shinshu Univ, Fac Text Sci &amp; Technol, Ueda, Nagano 3868567, Japan.</t>
  </si>
  <si>
    <t>shochi@shinshu-u.ac.jp</t>
  </si>
  <si>
    <t>Hochi, Shinichi/T-4316-2019; Hirabayashi, Masumi/C-8935-2019</t>
  </si>
  <si>
    <t>Hochi, Shinichi/0000-0001-5315-3471; Hirabayashi, Masumi/0000-0002-1059-5883</t>
  </si>
  <si>
    <t>0967-1994</t>
  </si>
  <si>
    <t>1469-8730</t>
  </si>
  <si>
    <t>Zygote</t>
  </si>
  <si>
    <t>10.1017/S0967199406004047</t>
  </si>
  <si>
    <t>Cell Biology; Developmental Biology; Reproductive Biology</t>
  </si>
  <si>
    <t>173LL</t>
  </si>
  <si>
    <t>WOS:000246874500002</t>
  </si>
  <si>
    <t>Evans, HF; Westerhold, T; Paulsen, H; Channell, JET</t>
  </si>
  <si>
    <t>Evans, Helen F.; Westerhold, Thomas; Paulsen, Harald; Channell, James E. T.</t>
  </si>
  <si>
    <t>Astronomical ages for Miocene polarity chrons C4Ar-C5r (9.3-11.2 Ma), and for three excursion chrons within C5n.2n</t>
  </si>
  <si>
    <t>South Atlantic; estrochronology; cryptochrons; magnetic stratigraphy; Miocene</t>
  </si>
  <si>
    <t>MARINE MAGNETIC-ANOMALIES; TIME-SCALE; INTEGRATED STRATIGRAPHY; GEOMAGNETIC REVERSALS; INSOLATION QUANTITIES; ODP SITE-1092; TINY WIGGLES; CALIBRATION; DEPTH; ALTIPLANO</t>
  </si>
  <si>
    <t>Ocean Drilling Program (ODP) Site 1092 from the sub-Antarctic South Atlantic produced a clear magnetic stratigraphy for the Late Miocene [Evans H.F., Channell, J.E.T., Upper Miocene Magnetic Stratigraphy from ODP Site 1092 (sub-Antarctic South Atlantic): recognition of cryptochrons in C5n, Geophys. Jour. Int., 153, (2003), 483-496]. Three short intervals of reverse polarity were identified within the long (similar to 1 Myr) normal polarity subchron C5n.2n. These excursion chrons were tentatively correlated to the three cryptochrons identified within subchron C5n.2n from NE Pacific marine magnetic anomaly data. New oxygen isotope data from ODP Site 1092 have allowed astronomical calibration of eight polarity chron boundaries in the interval between C4Ar.1n and C5r.1n (9.3-11.2 Ma) as well as calibration of the three excursion chrons identified within C5n.2n. The new polarity chron ages in the C4Ar.1n-C5r.1n interval differ from a current (2004) timescale by up to 48 kyr. The astrochronology yields durations in the 3-4 kyr range for the three excursion chrons in C5n.2n. The relative paleointensity record from Site 1092, and hence the three excursion chrons, can be correlated to the deep-tow magnetic anomaly record from 19 degrees S on the East Pacific Rise (EPR). Based on published correlation of the EPR deep-tow record with the sea-surface magnetic anomaly stack from the NE Pacific, the three excursion chrons do not correspond to the cryptochrons recognized in the NE Pacific stack. (C) 2007 Elsevier B.V All rights reserved.</t>
  </si>
  <si>
    <t>Univ Florida, Dept Geol Sci, Gainesville, FL 32611 USA; MARUM Univ Bremen, D-28334 Bremen, Germany</t>
  </si>
  <si>
    <t>State University System of Florida; University of Florida; University of Bremen</t>
  </si>
  <si>
    <t>Evans, HF (corresponding author), Univ Florida, Dept Geol Sci, POB 112120, Gainesville, FL 32611 USA.</t>
  </si>
  <si>
    <t>geohelen@ufl.edu</t>
  </si>
  <si>
    <t>Westerhold, Thomas/D-4581-2011</t>
  </si>
  <si>
    <t>Westerhold, Thomas/0000-0001-8151-4684</t>
  </si>
  <si>
    <t>APR 30</t>
  </si>
  <si>
    <t>10.1016/j.epsl.2007.02.001</t>
  </si>
  <si>
    <t>176CU</t>
  </si>
  <si>
    <t>WOS:000247061300011</t>
  </si>
  <si>
    <t>Murgese, DS; De Deckker, P</t>
  </si>
  <si>
    <t>Murgese, Davide S.; De Deckker, Patrick</t>
  </si>
  <si>
    <t>The Late Quaternary evolution of water masses in the eastern Indian Ocean between Australia and Indonesia, based on benthic foraminifera faunal and carbon isotopes analyses</t>
  </si>
  <si>
    <t>Delta 13C; productivity; Antarctic Intermediate Water; Indian Ocean water masses; Bulimina aculeata; South Java Upwelling; benthic foraminifer accumulation rate; Last Glacial Maximum</t>
  </si>
  <si>
    <t>LAST GLACIAL MAXIMUM; OFFSHORE WESTERN-AUSTRALIA; PACIFIC WARM POOL; CONTINENTAL-MARGIN; CLIMATE-CHANGE; POLLEN RECORD; SOUTH CHINA; FLUX RATES; BANDA SEA; SULU SEA</t>
  </si>
  <si>
    <t>Benthic foraminifera and carbon isotopes from closely spaced samples taken from three deep-sea cores were analysed to reconstruct the palaeoceanographic evolution of the eastern Indian Ocean for the last 30 kyrs, with an extension back to 60 kyrs based on one core. Benthic foraminifera were studied by means of Q-mode Factor Analysis. The benthic foraminifera accumulation rate (BFAR) and the accumulation rates (AR) of Bulimina aculeata, Epistominella exigua and Uvigerina proboscidea were calculated for determining episodes of increased organic matter supply to the sea floor. The 6180 and 613 C records of Cibicidoides wuellerstorfi were measured from all 3 cores to gather information about past intermediate- and deep-water circulation and changes in sea-surface palaeoproductivity. The co-variance of the organic matter supply and dissolved-oxygen levels affected the distribution of benthic foraminifera. Below a depth of 1800 in, reduced deep-water circulation was recognised by a low delta C-13 Of C. wuellerstorfi and increased carbon-flux rate by a high BFAR and B. aculeata, E. exigua and U. proboscidea AR, as well as by a B. aculeata faunal dominance. A more oligotrophic environment was characterised by a low BFAR and B. aculeata, E. exigua and U. proboscidea AR. Active deep-water circulation was postulated with high delta C-13 values for C. wuellerstorfi and by a faunal dominance by C wuellerstorfi. At intermediate depths (similar to 1000 in) and south of 20 degrees S, the presence of strong bottom currents and the lateral advection of small amounts of organic matter, favoured the suspension feeder C. wuellerstorfi. Under extremely high dissolved-oxygen levels, determined by the increased influence of the Antarctic Intermediate Water (seen through high delta C-13 of C. wuellerstorfi) and a reduced supply of organic matter, Nummoloculina irregularis and Globocassidulina subglobosa dominated the benthic foraminifera assemblage. The reduction of oxygen levels, a more stratified water column and the Leeuwin Current flow, along its present pattern, favoured the species U. proboscidea and Bolivina robusta. Based on these observations, the following palaeoceanographic evolution of the eastern Indian Ocean is proposed: center dot For 60-35 kyr BP, conditions of higher productivity (compared to the Present) at the sea surface were suggested for the Banda Sea. center dot For 35-15 kyr BP, high productivity still characterised the Banda Sea. Strong and oxygenated bottom currents were present offshore Western Australia. For the Last Glacial Maximum, a reduction of deep-water circulation characterised the eastern Indian Ocean, while more active circulation was recorded at intermediate depths. Productivity also increased offshore the north coast of Western Australia. center dot For 15-5 kyr BP, a reduction in productivity levels over the Banda Sea is related to increased atmospheric precipitation, which led to the formation of a low-salinity water cap at the sea surface. Off the north coast of Western Australia, productivity levels remained similar to those recorded for the LGM, probably due to the nutrients injected into the sea by rivers. Off the northwest coast of Western Australia, a deepened nutricline prevented any increase of organic matter supply to the sea floor. center dot Foy 5 kyr BP-Present, in the Banda Sea, productivity levels are similar to the Present. Off the Western Australian coast, an increased influence of the oxygen-depleted Indonesian Intermediate Water and the Leeuwin Current engendered a more stratified water column,characterised by lower dissolved-oxygen levels. (c) 2006 Elsevier B.V. All rights reserved.</t>
  </si>
  <si>
    <t>Australian Natl Univ, Dept Earth &amp; Marine Sci, Canberra, ACT 0200, Australia</t>
  </si>
  <si>
    <t>Australian National University</t>
  </si>
  <si>
    <t>Murgese, DS (corresponding author), Australian Natl Univ, Dept Earth &amp; Marine Sci, Canberra, ACT 0200, Australia.</t>
  </si>
  <si>
    <t>murgese@seaconsult.it</t>
  </si>
  <si>
    <t>10.1016/j.palaeo.2006.11.002</t>
  </si>
  <si>
    <t>163NS</t>
  </si>
  <si>
    <t>WOS:000246167300011</t>
  </si>
  <si>
    <t>Smart, CW; Thomas, E; Ramsay, ATS</t>
  </si>
  <si>
    <t>Smart, Christopher W.; Thomas, Ellen; Ramsay, Anthony T. S.</t>
  </si>
  <si>
    <t>Middle-late Miocene benthic foraminifera in a western equatorial Indian Ocean depth transect: Paleoceanographic implications</t>
  </si>
  <si>
    <t>Miocene; benthic foraminifera; Indian Ocean; paleoceanography; monsoon; ODP</t>
  </si>
  <si>
    <t>DEEP-SEA FORAMINIFERA; PLIOCENE BIOGENIC BLOOM; ATMOSPHERIC CARBON-DIOXIDE; OXYGEN MINIMUM ZONE; ATLANTIC-OCEAN; ASIAN MONSOON; CONTINENTAL-MARGIN; WATER CIRCULATION; SPECIES-DIVERSITY; NE ATLANTIC</t>
  </si>
  <si>
    <t>Middle through upper Miocene (17-5 Ma) benthic forarniniferal faunas (&gt; 63 gm) from a depth transect in the western equatorial Indian Ocean (DSDP Site 237, ODP Sites 707, 709 and 710; water depth 1500-3800 m) underwent significant faunal changes at similar to 14-13 Ma and 11-8 Ma. These faunal changes are not easily interpreted, because of the complex factors controlling benthic foraminiferal distribution and abundance. At similar to 14-13 Ma, the relative abundance of 'high-productivity' taxa (Bolivina, Bulimina, Melonis and Uvigerina species), although highly variable, generally increased at the two shallower sites (237 and 707), as did the percentage of Epistominella exigua (indicative of seasonal productivity) and Nuttallides umbonifera (indicative of corrosive bottom waters) at the two deeper sites (709 and 7 10); the latter species had a peak in abundance at the deepest site (710) between 11 and 9 Ma. Benthic foraminiferal accumulation rates (BFARs) increased strongly at the shallower sites starting at 11 Ma, peaking between 9 and 8 Ma, and increased weakly at the deeper two sites starting at I I Ma. Elongate, cylindrical taxa decreased in abundance between 12 and I I Ma at all sites. The abundance of planktic foraminiferal fragments was, as expected, overall higher at the deeper sites, with some high values after 12-13 Ma at the shallower sites. The faunal changes suggest that overall the food supply to the sea floor increased, but also became more pulsed or seasonal, peaking at 9-8 Ma, while deep and intermediate waters may have become more ventilated. The first phase of faunal change (14-13 Ma) was coeval with the global increase in benthic foraminiferal oxygen isotope values, worldwide turnover in benthic foraminiferal faunas, and possibly increased production of Antarctic Bottom Water (AABW) and Northern Component Water (NCW). The overall faunal turnover may reflect the composite faunal response to increased food input resulting from heightened productivity and increased bottom water ventilation associated with a combination of monsoonal intensification, global cooling and changes in ocean circulation, but there is no unequivocal evidence for the presence of Tethyan Outflow Water (TOW) over the studied time and depth range, in contrast to earlier publications. (C) 2006 Elsevier B.V. All rights reserved.</t>
  </si>
  <si>
    <t>Univ Plymouth, Sch Earth Ocean &amp; Environm Sci, Plymouth PL4 8AA, Devon, England; Yale Univ, Dept Geol &amp; Geophys, New Haven, CT 06520 USA; Cardiff Univ, Sch Earth Ocean &amp; Planetary Sci, Cardiff CF1 3YE, S Glam, Wales</t>
  </si>
  <si>
    <t>University of Plymouth; Yale University; Cardiff University</t>
  </si>
  <si>
    <t>Smart, CW (corresponding author), Univ Plymouth, Sch Earth Ocean &amp; Environm Sci, Plymouth PL4 8AA, Devon, England.</t>
  </si>
  <si>
    <t>csmart@plymouth.ac.uk</t>
  </si>
  <si>
    <t>Thomas, Ellen/JVO-1734-2024</t>
  </si>
  <si>
    <t>Thomas, Ellen/0000-0002-7141-9904; Smart, Christopher/0000-0001-6329-4139</t>
  </si>
  <si>
    <t>10.1016/j.palaeo.2006.11.003</t>
  </si>
  <si>
    <t>WOS:000246167300012</t>
  </si>
  <si>
    <t>Menshenina, LL; Tabachnick, KR; Janussen, D</t>
  </si>
  <si>
    <t>Menshenina, Larisa L.; Tabachnick, Konstantin R.; Janussen, Dorte</t>
  </si>
  <si>
    <t>Revision of the subgenus Neopsacas (Hexactinellida, Rossellidae, Crateromorpha) with the description of new species and subspecies</t>
  </si>
  <si>
    <t>Porifera; Hexactinellida; Rossellidae; new species; taxonomic revision; deep-sea sponges</t>
  </si>
  <si>
    <t>PORIFERA</t>
  </si>
  <si>
    <t>Discovery of new specimens of Crateromorpha (Neopsacas), which are attributed to new species, from the Pacific, Antarctic and Indian Oceans and the description of new specimen also from the Atlantic Ocean allow us to review the skeletal characters regarding the dermal-hypodermal-atrial-hypoatrial spicule composition in various species of subgenus C. (Neopsacas). A new diagnosis of this taxon is proposed, and several new species and subspecies described: Crateromorpha (Neopsacas) krinovi krinovi sp. nov., ssp. nov., Crateromorpha (Neopsacas) krinovi discoli ssp. nov. and Crateromorpha (Neopsacas) obi sp. nov. The status of the subgenus Neopsacas within the Rossellidae and its close relation to Caulophacus are now well established according to morphological characters. The distribution of this subgenus is wide: Atlantic, Pacific, Indian and Antarctic Oceans. Possible phylogenetic affinities between the genera Crateromorpha and Caulophacus are discussed.</t>
  </si>
  <si>
    <t>Moscow MV Lomonosov State Univ, Fac Phys, Biophys Dept, Moscow 119992, Russia; Russian Acad Sci, Inst Oceanol, Moscow 117218, Russia; Forsch Inst &amp; Nat Museum Senckenberg, D-60325 Frankfurt, Germany</t>
  </si>
  <si>
    <t>Lomonosov Moscow State University; Russian Academy of Sciences; Senckenberg Gesellschaft fur Naturforschung (SGN)</t>
  </si>
  <si>
    <t>Menshenina, LL (corresponding author), Moscow MV Lomonosov State Univ, Fac Phys, Biophys Dept, MSU 2,B2, Moscow 119992, Russia.</t>
  </si>
  <si>
    <t>tabachnick@mail.ru; dorte.janussen@senckenberg.de</t>
  </si>
  <si>
    <t>Tabachnick, Konstantin/ABI-1399-2020</t>
  </si>
  <si>
    <t>161OF</t>
  </si>
  <si>
    <t>WOS:000246024200006</t>
  </si>
  <si>
    <t>Hinkley, T</t>
  </si>
  <si>
    <t>Hinkley, Todd</t>
  </si>
  <si>
    <t>Lead (Pb) in old Antarctic ice: Some from dust, some from other sources</t>
  </si>
  <si>
    <t>Recently published data on amounts and isotopic compositions of lead (Pb) and on amounts of mineral dust in pre- industrial Antarctic ice can be further interpreted by means of simple calculations. These show that two distinct types of Pb were provided by the atmosphere to the continent in varying proportions during Pleistocene and Holocene time. One type of Pb is that contained in the mineral lattices of dust. It has non-radiogenic isotopic proportions. The other type of Pb is not associated with dust minerals, is more radiogenic, and is consistent with an origin in emissions from ocean island volcanoes worldwide, or from some Antarctic volcanoes.</t>
  </si>
  <si>
    <t>US Geol Survey, Natl Ice Core Lab, Denver, CO 80225 USA</t>
  </si>
  <si>
    <t>Hinkley, T (corresponding author), US Geol Survey, Natl Ice Core Lab, MS 975, Denver, CO 80225 USA.</t>
  </si>
  <si>
    <t>thinkley@usgs.gov</t>
  </si>
  <si>
    <t>APR 28</t>
  </si>
  <si>
    <t>L08502</t>
  </si>
  <si>
    <t>10.1029/2006GL028736</t>
  </si>
  <si>
    <t>163ER</t>
  </si>
  <si>
    <t>WOS:000246142100001</t>
  </si>
  <si>
    <t>Buesseler, KO; Lamborg, CH; Boyd, PW; Lam, PJ; Trull, TW; Bidigare, RR; Bishop, JKB; Casciotti, KL; Dehairs, F; Elskens, M; Honda, M; Karl, DM; Siegel, DA; Silver, MW; Steinberg, DK; Valdes, J; Van Mooy, B; Wilson, S</t>
  </si>
  <si>
    <t>Buesseler, Ken O.; Lamborg, Carl H.; Boyd, Philip W.; Lam, Phoebe J.; Trull, Thomas W.; Bidigare, Robert R.; Bishop, James K. B.; Casciotti, Karen L.; Dehairs, Frank; Elskens, Marc; Honda, Makio; Karl, David M.; Siegel, David A.; Silver, Mary W.; Steinberg, Deborah K.; Valdes, Jim; Van Mooy, Benjamin; Wilson, Stephanie</t>
  </si>
  <si>
    <t>Revisiting carbon flux through the ocean's twilight zone</t>
  </si>
  <si>
    <t>ORGANIC-MATTER; TRANSPORT; PUMP</t>
  </si>
  <si>
    <t>The oceanic biological pump drives sequestration of carbon dioxide in the deep sea via sinking particles. Rapid biological consumption and remineralization of carbon in the twilight zone ( depths between the euphotic zone and 1000 meters) reduce the efficiency of sequestration. By using neutrally buoyant sediment traps to sample this chronically understudied realm, we measured a transfer efficiency of sinking particulate organic carbon between 150 and 500 meters of 20 and 50% at two contrasting sites. This large variability in transfer efficiency is poorly represented in biogeochemical models. If applied globally, this is equivalent to a difference in carbon sequestration of more than 3 petagrams of carbon per year.</t>
  </si>
  <si>
    <t>Woods Hole Oceanog Inst, Dept Marine Chem &amp; Geochem, Woods Hole, MA 02543 USA; Univ Otago, Natl Inst Water, Dunedin, New Zealand; Univ Otago, Atmospher Res Ctr Phys &amp; Chem Oceanog, Dept Chem, Dunedin, New Zealand; Univ Tasmania, Antarctic Climate &amp; Ecosyst Cooperat Res Ctr, Hobart, Tas 7001, Australia; CSIRO, Marine &amp; Atmospher Res, Hobart, Tas 7001, Australia; Univ Hawaii, Dept Oceanog, Honolulu, HI 96822 USA; Univ Calif Berkeley, Lawrence Berkeley Lab, Div Earth Sci, Berkeley, CA 94720 USA; Univ Calif Berkeley, Dept Earth &amp; Planetary Sci, Berkeley, CA 94720 USA; Free Univ Brussels, B-1050 Brussels, Belgium; Mutsu Inst Oceanog, JAMSTEC, Kanagawa 2370061, Japan; Univ Calif Santa Barbara, Inst Computat Earth Syst Sci, Santa Barbara, CA 93106 USA; Univ Calif Santa Cruz, Ocean Sci Dept, Santa Cruz, CA 95064 USA; Coll William &amp; Mary, Virginia Inst Marine Sci, Gloucester Point, VA 23062 USA; Woods Hole Oceanog Inst, Dept Phys Oceanog, Woods Hole, MA 02543 USA</t>
  </si>
  <si>
    <t>Woods Hole Oceanographic Institution; University of Otago; University of Otago; University of Tasmania; Antarctic Climate &amp; Ecosystems Cooperative Research Centre (ACE CRC); Commonwealth Scientific &amp; Industrial Research Organisation (CSIRO); University of Hawaii System; United States Department of Energy (DOE); Lawrence Berkeley National Laboratory; University of California System; University of California Berkeley; University of California System; University of California Berkeley; Universite Libre de Bruxelles; Japan Agency for Marine-Earth Science &amp; Technology (JAMSTEC); University of California System; University of California Santa Barbara; University of California System; University of California Santa Cruz; William &amp; Mary; Virginia Institute of Marine Science; Woods Hole Oceanographic Institution</t>
  </si>
  <si>
    <t>Buesseler, KO (corresponding author), Woods Hole Oceanog Inst, Dept Marine Chem &amp; Geochem, Woods Hole, MA 02543 USA.</t>
  </si>
  <si>
    <t>kbuesseler@whoi.edu</t>
  </si>
  <si>
    <t>Lam, Phoebe/GQQ-7325-2022; Trull, Tom W/B-7028-2014; Karl, David/AFP-3837-2022; Siegel, David A/C-5587-2008; Boyd, Philip/J-7624-2014</t>
  </si>
  <si>
    <t>Casciotti, Karen/0000-0002-5286-7795; Wilson, Stephanie/0000-0002-1280-5506; Bishop, James/0000-0002-8036-3017; Siegel, David/0000-0003-1674-3055; Lam, Phoebe J./0000-0001-6609-698X; Boyd, Philip/0000-0001-7850-1911; Steinberg, Deborah K./0000-0001-9884-4655; Karl, David/0000-0002-6660-6721</t>
  </si>
  <si>
    <t>APR 27</t>
  </si>
  <si>
    <t>10.1126/science.1137959</t>
  </si>
  <si>
    <t>160ZC</t>
  </si>
  <si>
    <t>WOS:000245983100036</t>
  </si>
  <si>
    <t>Proshutinsky, A; Ashik, I; Häkkinen, S; Hunke, E; Krishfield, R; Maltrud, M; Maslowski, W; Zhang, J</t>
  </si>
  <si>
    <t>Proshutinsky, A.; Ashik, I.; Haekkinen, S.; Hunke, E.; Krishfield, R.; Maltrud, M.; Maslowski, W.; Zhang, J.</t>
  </si>
  <si>
    <t>Sea level variability in the Arctic Ocean from AOMIP models</t>
  </si>
  <si>
    <t>LAPTEV SEA; FAST-ICE; NUMERICAL-MODEL; WIND; CIRCULATION; REGIMES; CLIMATE; SHELF; PARAMETERIZATION; PRESSURE</t>
  </si>
  <si>
    <t>[1] Monthly sea levels from five Arctic Ocean Model Intercomparison Project ( AOMIP) models are analyzed and validated against observations in the Arctic Ocean. The AOMIP models are able to simulate variability of sea level reasonably well, but several improvements are needed to reduce model errors. It is suggested that the models will improve if their domains have a minimum depth less than 10 m. It is also recommended to take into account forcing associated with atmospheric loading, fast ice, and volume water fluxes representing Bering Strait inflow and river runoff. Several aspects of sea level variability in the Arctic Ocean are investigated based on updated observed sea level time series. The observed rate of sea level rise corrected for the glacial isostatic adjustment at 9 stations in the Kara, Laptev, and East Siberian seas for 1954 - 2006 is estimated as 0.250 cm/yr. There is a well pronounced decadal variability in the observed sea level time series. The 5-year running mean sea level signal correlates well with the annual Arctic Oscillation (AO) index and the sea level atmospheric pressure (SLP) at coastal stations and the North Pole. For 1954 - 2000 all model results reflect this correlation very well, indicating that the long-term model forcing and model reaction to the forcing are correct. Consistent with the influences of AO-driven processes, the sea level in the Arctic Ocean dropped significantly after 1990 and increased after the circulation regime changed from cyclonic to anticyclonic in 1997. In contrast, from 2000 to 2006 the sea level rose despite the stabilization of the AO index at its lowest values after 2000.</t>
  </si>
  <si>
    <t>Woods Hole Oceanog Inst, Dept Phys Oceanog, Woods Hole, MA 02543 USA; USN, Postgrad Sch, Dept Oceanog, Monterey, CA 93943 USA; Univ Washington, Polar Sci Ctr, Seattle, WA 98105 USA; Arctic &amp; Antarctic Res Inst, St Petersburg 198095, Russia; NASA, Goddard Space Flight Ctr, Greenbelt, MD 20771 USA; Los Alamos Natl Lab, Los Alamos, NM 87545 USA</t>
  </si>
  <si>
    <t>Woods Hole Oceanographic Institution; United States Department of Defense; United States Navy; Naval Postgraduate School; University of Washington; University of Washington Seattle; Arctic &amp; Antarctic Research Institute; National Aeronautics &amp; Space Administration (NASA); NASA Goddard Space Flight Center; United States Department of Energy (DOE); Los Alamos National Laboratory</t>
  </si>
  <si>
    <t>Proshutinsky, A (corresponding author), Woods Hole Oceanog Inst, Dept Phys Oceanog, MS 29,360 Woods Hole Rd, Woods Hole, MA 02543 USA.</t>
  </si>
  <si>
    <t>aproshutinsky@whoi.edu</t>
  </si>
  <si>
    <t>Hakkinen, Sirpa/E-1461-2012; Bloshkina, Ekaterina/I-6901-2015</t>
  </si>
  <si>
    <t>Bloshkina, Ekaterina/0000-0002-2078-7459</t>
  </si>
  <si>
    <t>APR 26</t>
  </si>
  <si>
    <t>C4</t>
  </si>
  <si>
    <t>C04S08</t>
  </si>
  <si>
    <t>10.1029/2006JC003916</t>
  </si>
  <si>
    <t>163FO</t>
  </si>
  <si>
    <t>WOS:000246144400005</t>
  </si>
  <si>
    <t>Morley, SK; Freeman, MP</t>
  </si>
  <si>
    <t>Morley, S. K.; Freeman, M. P.</t>
  </si>
  <si>
    <t>On the association between northward turnings of the interplanetary magnetic field and substorm onsets</t>
  </si>
  <si>
    <t>MAGNETOSPHERIC SUBSTORMS; NONTRIGGERED SUBSTORMS; EXPANSION ONSETS; MODEL; IMF</t>
  </si>
  <si>
    <t>We re-examine whether substorms are triggered by solar wind fluctuations or an internal magnetospheric instability by comparing the statistical associations between substorm onsets and ( 1) an external trigger definition, ( 2) a simple internal trigger definition of only prior loading of solar wind energy that is a subset of the external trigger definition. Statistical associations are calculated both for observed substorm onsets and onsets generated by a Minimal Substorm Model in which substorms are purely internally triggered. Thence we argue that a minimum interval of prior loading is a necessary condition for substorm onset, a subsequent northward IMF turning is not necessary, and consequently that an internal trigger from a magnetospheric instability is a necessary and sufficient condition for substorm onset. We discuss how this result may explain a report that externally triggered substorms are systematically larger than non-externally triggered substorms.</t>
  </si>
  <si>
    <t>Univ Newcastle, Ctr Space Phys, Sch Math &amp; Phys Sci, Callaghan, NSW 2308, Australia; British Antarctic Survey, NERC, Div Phys Sci, Cambridge CB3 0ET, England</t>
  </si>
  <si>
    <t>University of Newcastle; UK Research &amp; Innovation (UKRI); Natural Environment Research Council (NERC); NERC British Antarctic Survey</t>
  </si>
  <si>
    <t>Morley, SK (corresponding author), Univ Newcastle, Ctr Space Phys, Sch Math &amp; Phys Sci, Callaghan, NSW 2308, Australia.</t>
  </si>
  <si>
    <t>steven.morley@newcastle.edu.au</t>
  </si>
  <si>
    <t>Morley, Steven K/GVS-9398-2022; Morley, Steven/AAP-5637-2021; Morley, Steven K/A-8321-2008; Freeman, Mervyn/E-5687-2019</t>
  </si>
  <si>
    <t>Morley, Steven K/0000-0001-8520-0199; Morley, Steven K/0000-0001-8520-0199; Freeman, Mervyn/0000-0002-8653-8279</t>
  </si>
  <si>
    <t>NERC [bas010021] Funding Source: UKRI; Natural Environment Research Council [bas010021] Funding Source: researchfish</t>
  </si>
  <si>
    <t>APR 24</t>
  </si>
  <si>
    <t>L08104</t>
  </si>
  <si>
    <t>10.1029/2006GL028891</t>
  </si>
  <si>
    <t>163EC</t>
  </si>
  <si>
    <t>WOS:000246140600001</t>
  </si>
  <si>
    <t>Meskhidze, N; Nenes, A; Chameides, WL; Luo, C; Mahowald, N</t>
  </si>
  <si>
    <t>Meskhidze, Nicholas; Nenes, Athanasios; Chameides, William L.; Luo, Chao; Mahowald, Natalie</t>
  </si>
  <si>
    <t>Atlantic Southern Ocean productivity: Fertilization from above or below?</t>
  </si>
  <si>
    <t>ANTARCTIC CIRCUMPOLAR CURRENT; HEMISPHERE STORM TRACKS; PHYTOPLANKTON BLOOM; ATMOSPHERIC TRANSPORT; IRON FERTILIZATION; MINERAL DUST; WATERS; MODEL; MOBILIZATION; CIRCULATION</t>
  </si>
  <si>
    <t>[1] Primary productivity and the associated uptake of atmospheric carbon dioxide in the Southern Ocean ( SO) is thought to be generally limited by bioavailable iron ( Fe). Two sources of Fe for the surface waters of the SO have been proposed: ( 1) oceanic input of nutrient-rich (i.e., Fe) waters from upwelling and lateral flows from continental margins; and ( 2) atmospheric input from the deposition of mineral dust emanating from the arid regions of South America and Australia. In this work, analysis of weekly remotely sensed sea surface temperature (SST), ocean chlorophyll a content [Chl a] and model-derived atmospheric dust-Fe fluxes are used to identify the predominant source of Fe during phytoplankton blooms in the surface waters of the south Atlantic Ocean between 40 degrees S and 60 degrees S. The results of our study suggest that oceanic source through upwelling of nutrient-rich waters due to mesoscale frontal dynamics is the major source of bioavailable Fe controlling biological activity in this region. This result is consistent with the idea that acidification of aeolian dust prior to its deposition to the ocean may be required to solubilize the large fraction of mineral-iron and make it bioavailable.</t>
  </si>
  <si>
    <t>Georgia Inst Technol, Sch Earth &amp; Atmospher Sci, Atlanta, GA 30332 USA; Georgia Inst Technol, Sch Chem &amp; Biomol Engn, Atlanta, GA 30332 USA; Environm Def, New York, NY 10010 USA; Univ Calif Santa Barbara, Inst Computat Earth Syst Sci, Santa Barbara, CA 93106 USA; Natl Ctr Atmospher Res, Boulder, CO 80307 USA</t>
  </si>
  <si>
    <t>University System of Georgia; Georgia Institute of Technology; University System of Georgia; Georgia Institute of Technology; University of California System; University of California Santa Barbara; National Center Atmospheric Research (NCAR) - USA</t>
  </si>
  <si>
    <t>Meskhidze, N (corresponding author), N Carolina State Univ, Dept Marine Earth &amp; Atmospher Sci, Box 8208, Raleigh, NC 27695 USA.</t>
  </si>
  <si>
    <t>nmeskhidze@eas.gatech.edu</t>
  </si>
  <si>
    <t>Mahowald, Natalie M/D-8388-2013; Nenes, Athanasios/ABE-6478-2020</t>
  </si>
  <si>
    <t>Mahowald, Natalie M/0000-0002-2873-997X; Nenes, Athanasios/0000-0003-3873-9970; Meskhidze, Nicholas/0000-0001-5628-8777</t>
  </si>
  <si>
    <t>GB2006</t>
  </si>
  <si>
    <t>10.1029/2006GB002711</t>
  </si>
  <si>
    <t>163ES</t>
  </si>
  <si>
    <t>WOS:000246142200001</t>
  </si>
  <si>
    <t>Pringle, DJ; Eicken, H; Trodahl, HJ; Backstrom, LGE</t>
  </si>
  <si>
    <t>Pringle, D. J.; Eicken, H.; Trodahl, H. J.; Backstrom, L. G. E.</t>
  </si>
  <si>
    <t>Thermal conductivity of landfast Antarctic and Arctic sea ice</t>
  </si>
  <si>
    <t>MODEL; SALINITY; TEMPERATURE; SENSITIVITY; CONVECTION; TRANSPORT; OCEAN</t>
  </si>
  <si>
    <t>[ 1] We present final results from a program to measure the thermal conductivity of sea ice with in situ thermistor arrays using an amended analysis of new and previously reported ice temperatures. Results from landfast first-year (FY) ice near Barrow, Alaska, and McMurdo Sound, Antarctica, are consistent with predictions from effective-medium models but 10 - 15% higher than values from the parameterization currently used in most sea ice models. We observe no previously reported anomalous near-surface reduction, which is now understood to have been an artifact, nor a convective enhancement to the heat flow, although our analysis is limited to temperatures below -5 degrees C at which brine percolation is restricted. Results for landfast multiyear ( MY) ice in McMurdo Sound are also consistent with effective-medium predictions, and emphasize the density dependence. We compare these and historical measurements with effective-medium predictions and the representation commonly used in sea ice models, developed originally for MY Arctic ice. We propose an alternative expression derived from effective-medium models, appropriate for both MY and FY ice that is consistent with experimental results, k = (rho/rho(i))(2.11 - 0.011 theta + 0.09 (S/theta) - (rho - rho(i))/1000), where rho(i) and r are the density of pure ice and sea ice (kg m(-3)), and theta (degrees C) and S (ppt) are sea ice temperature and salinity. For the winter and spring conditions studied here, thermal signatures of internal brine motion were observed rarely ( 22 times in 1957 days), and their maximum contribution to the total heat flow is estimated to be of the order of a few percent.</t>
  </si>
  <si>
    <t>Univ Alaska, Inst Geophys, Fairbanks, AK 99775 USA; Victoria Univ Wellington, Sch Chem &amp; Phys Sci, Wellington, New Zealand; Univ Alaska, Arctic Reg Supercomp Ctr, Fairbanks, AK 99701 USA</t>
  </si>
  <si>
    <t>University of Alaska System; University of Alaska Fairbanks; Victoria University Wellington; University of Alaska System; University of Alaska Fairbanks</t>
  </si>
  <si>
    <t>Pringle, DJ (corresponding author), Univ Alaska, Inst Geophys, POB 757320, Fairbanks, AK 99775 USA.</t>
  </si>
  <si>
    <t>pringle@gi.alaska.edu; hajo.eicken@gi.alaska.edu; joe.trodahl@vuw.ac.nz; larsg@gi.alaska.edu</t>
  </si>
  <si>
    <t>C04017</t>
  </si>
  <si>
    <t>10.1029/2006JC003641</t>
  </si>
  <si>
    <t>163FN</t>
  </si>
  <si>
    <t>WOS:000246144300002</t>
  </si>
  <si>
    <t>de Jong, J; Schoemann, V; Tison, JL; Becquevort, S; Masson, F; Lannuzel, D; Petit, J; Chou, L; Weis, D; Mattielli, N</t>
  </si>
  <si>
    <t>de Jong, Jeroen; Schoemann, Veronique; Tison, Jean-Louis; Becquevort, Sylvie; Masson, Florence; Lannuzel, Delphine; Petit, Jerome; Chou, Lei; Weis, Dominique; Mattielli, Nadine</t>
  </si>
  <si>
    <t>Precise measurement of Fe isotopes in marine samples by multi-collector inductively coupled plasma mass spectrometry (MC-ICP-MS)</t>
  </si>
  <si>
    <t>ANALYTICA CHIMICA ACTA</t>
  </si>
  <si>
    <t>Fe isotopes; MC-ICP-MS; seawater; sea ice; Scheldt estuary; North Sea; Antarctica</t>
  </si>
  <si>
    <t>IRON ISOTOPES; SEA-ICE; RATIO MEASUREMENTS; SCHELDT ESTUARY; NATURAL IRON; TRACE-METALS; FRACTIONATION; SEAWATER; EARTH; PERFORMANCE</t>
  </si>
  <si>
    <t>A novel analytical technique for isotopic analysis of dissolved and particulate iron (Fe) from various marine environments is presented in this paper. It combines coprecipitation of dissolved Fe (DFe) samples with Mg(OH)(2), and acid digestion of particulate Fe (PFe) samples with double pass chromatographic separation. Isotopic data were obtained using a Nu Plasma MC-ICP-MS in dry plasma mode, applying a combination of standard-sample bracketing and external normalization by Cu doping. Argon interferences were determined prior to each analysis and automatically subtracted during analysis. Sample size can be varied between 200 and 600 ng of Fe per measurement and total procedural blanks are better than 10 ng of Fe. Typical external precision of replicate analyses (1S.D.) is 0.07 parts per thousand on delta(56) Fe and +/- 0.09 parts per thousand on delta(57) Fe while typical internal precision of a measurement (1S.E.) is 0.03 parts per thousand on 8(56)Fe and +/- 0.04 parts per thousand on delta Fe-57. Accuracy and precision were assured by the analysis of reference material IRMM-014, an in-house pure Fe standard, an in-house rock standard, as well as by inter-laboratory comparison using a hematite standard from ETH (Zurich). The lowest amount of Fe (200 ng) at which a reliable isotopic measurement could still be performed corresponds to a DFe or PFe concentration of similar to 2 nmol L-1 for a 2 L sample size. To show the versatility of the method, results are presented from contrasting environments characterized by a wide range of Fe concentrations as well as varying salt content: the Scheldt estuary, the North Sea, and Antarctic pack ice. The range of DFe and PFe concentrations encountered in this investigation falls between 2 and 2000 nmol L-1 Fe. The distinct isotopic compositions detected in these environments cover the whole range reported in previous studies of natural Fe isotopic fractionation in the marine environment, i.e. delta Fe-56 varies between -3.5 parts per thousand and +1.5 parts per thousand, The largest fractionations were observed in environments characterized by redox changes and/or strong Fe cycling. This demonstrates the potential use of Fe isotopes as a tool to trace marine biogeochemical processes involving Fe. (c) 2007 Elsevier B.V. All rights reserved.</t>
  </si>
  <si>
    <t>Univ Libre Bruxelles, Dept Earth &amp; Environm Sci, B-1050 Brussels, Belgium; Univ Libre Bruxelles, B-1050 Brussels, Belgium; Univ British Columbia, Dept Earth &amp; Ocean Sci, Vancouver, BC V6T 1Z4, Canada</t>
  </si>
  <si>
    <t>Universite Libre de Bruxelles; Universite Libre de Bruxelles; University of British Columbia</t>
  </si>
  <si>
    <t>de Jong, J (corresponding author), Univ Libre Bruxelles, Dept Earth &amp; Environm Sci, Ave FD Roosevelt 50, B-1050 Brussels, Belgium.</t>
  </si>
  <si>
    <t>jdejong@ulb.ac.be</t>
  </si>
  <si>
    <t>de Jong, Jeroen/F-3190-2011; Weis, Dominique A/Q-7658-2016; lannuzel, delphine/J-7937-2014; Tison, Jean-Louis/F-4065-2015</t>
  </si>
  <si>
    <t>Weis, Dominique A/0000-0002-6638-5543; lannuzel, delphine/0000-0001-6154-1837; Petit, Jerome C.J./0000-0003-0728-2664; de Jong, Jeroen/0000-0002-3034-5929; Tison, Jean-Louis/0000-0002-9758-3454; Mattielli, Nadine/0000-0002-7170-1520</t>
  </si>
  <si>
    <t>0003-2670</t>
  </si>
  <si>
    <t>1873-4324</t>
  </si>
  <si>
    <t>ANAL CHIM ACTA</t>
  </si>
  <si>
    <t>Anal. Chim. Acta</t>
  </si>
  <si>
    <t>APR 18</t>
  </si>
  <si>
    <t>10.1016/j.aca.2007.02.055</t>
  </si>
  <si>
    <t>Chemistry, Analytical</t>
  </si>
  <si>
    <t>159DK</t>
  </si>
  <si>
    <t>WOS:000245845400016</t>
  </si>
  <si>
    <t>Summers, D; Ni, B; Meredith, NP</t>
  </si>
  <si>
    <t>Summers, Danny; Ni, Binbin; Meredith, Nigel P.</t>
  </si>
  <si>
    <t>Timescales for radiation belt electron acceleration and loss due to resonant wave-particle interactions: 2. Evaluation for VLF chorus, ELF hiss, and electromagnetic ion cyclotron waves</t>
  </si>
  <si>
    <t>WHISTLER-MODE CHORUS; OUTER-ZONE ELECTRONS; PITCH-ANGLE SCATTERING; LINEAR DIFFUSION-COEFFICIENTS; RELATIVISTIC ELECTRONS; GEOMAGNETIC STORMS; MAGNETOSPHERIC CHORUS; INNER MAGNETOSPHERE; PLASMASPHERIC HISS; MAGNETIC STORM</t>
  </si>
  <si>
    <t>[ 1] Outer zone radiation belt electrons can undergo gyroresonant interaction with various magnetospheric wave modes including whistler-mode chorus outside the plasmasphere and both whistler-mode hiss and electromagnetic ion cyclotron (EMIC) waves inside the plasmasphere. To evaluate timescales for electron momentum diffusion and pitch angle diffusion, we utilize bounce-averaged quasi-linear diffusion coefficients for field-aligned waves with a Gaussian frequency spectrum in a dipole magnetic field. Timescales for momentum diffusion of MeV electrons due to VLF chorus can be less than a day in the outer radiation belt. Equatorial chorus waves (\lambda(W)\ &lt; 15 deg) can effectively accelerate MeV electrons. Efficiency of the chorus acceleration mechanism is increased if high-latitude waves (\lambda(W)\ &gt; 15 deg) are also present. Our calculations confirm that chorus diffusion is a viable mechanism for generating relativistic ( MeV) electrons in the outer zone during the recovery phase of a storm or during periods of prolonged substorm activity when chorus amplitudes are enhanced. Radiation belt electrons are subject to precipitation loss to the atmosphere due to resonant pitch angle scattering by plasma waves. The electron precipitation loss timescale due to scattering by each of the wave modes, chorus, hiss, and EMIC waves, can be 1 day or less. These wave modes can separately, or in combination, contribute significantly to the depletion of relativistic ( MeV) electrons from the outer zone over the course of a magnetic storm. Efficient pitch angle scattering by whistler-mode chorus or hiss typically requires high latitude waves (\lambda(W)\ &gt; 30 deg). Timescales for electron acceleration and loss generally depend on the spectral properties of the waves, as well as the background electron number density and magnetic field. Loss timescales due to EMIC wave scattering also depend on the ion (H+, He+, O+) composition of the plasma. Complete models of radiation belt electron transport, acceleration and loss should include, in addition to radial (cross-L) diffusion, resonant diffusion due to gyroresonance with VLF chorus, plasmaspheric hiss, and EMIC waves. Comprehensive observational data on the spectral properties of these waves are required as a function of spatial location ( L, MLT, MLAT) and magnetic activity.</t>
  </si>
  <si>
    <t>Mem Univ Newfoundland, Dept Math &amp; Stat, St John, NF A1C 5S7, Canada; British Antarctic Survey, NERC, Cambridge CB3 0ET, England</t>
  </si>
  <si>
    <t>Memorial University Newfoundland; UK Research &amp; Innovation (UKRI); Natural Environment Research Council (NERC); NERC British Antarctic Survey</t>
  </si>
  <si>
    <t>Summers, D (corresponding author), Mem Univ Newfoundland, Dept Math &amp; Stat, St John, NF A1C 5S7, Canada.</t>
  </si>
  <si>
    <t>dsummers@math.mun.ca; bbni@math.mun.ca; nmer@bas.ac.uk</t>
  </si>
  <si>
    <t>Ni, Binbin/I-5244-2013; Meredith, Nigel P/C-5806-2018</t>
  </si>
  <si>
    <t>Horne, Richard/0000-0002-0412-6407; Meredith, Nigel/0000-0001-5032-3463</t>
  </si>
  <si>
    <t>APR 13</t>
  </si>
  <si>
    <t>A4</t>
  </si>
  <si>
    <t>A04207</t>
  </si>
  <si>
    <t>10.1029/2006JA011993</t>
  </si>
  <si>
    <t>157PI</t>
  </si>
  <si>
    <t>WOS:000245732100002</t>
  </si>
  <si>
    <t>Timescales for radiation belt electron acceleration and loss due to resonant wave-particle interactions: 1. Theory</t>
  </si>
  <si>
    <t>WHISTLER-MODE CHORUS; LINEAR DIFFUSION-COEFFICIENTS; PITCH-ANGLE SCATTERING; OUTER-ZONE ELECTRONS; RELATIVISTIC ELECTRONS; GEOMAGNETIC STORMS; MAGNETIC STORM; GEOSYNCHRONOUS ORBIT; INNER MAGNETOSPHERE; DYNAMICS</t>
  </si>
  <si>
    <t>[ 1] Radiation belt electrons can interact with various modes of plasma wave in their drift orbits about the Earth, including whistler-mode chorus outside the plasmasphere, and both whistler-mode hiss and electromagnetic ion cyclotron waves inside the plasmasphere. Electrons undergo gyroresonant diffusion in their interactions with these waves. To determine the timescales for electron momentum diffusion and pitch angle diffusion, we develop bounce-averaged quasi-linear resonant diffusion coefficients for field-aligned electromagnetic waves in a hydrogen or multi-ion (H+, He+, O+) plasma. We assume that the Earth's magnetic field is dipolar and that the wave frequency spectrum is Gaussian. Evaluation of the diffusion coefficients requires the solution of a sixth-order polynomial equation for the resonant wave frequencies in the case of a multi-ion ( H+, He+, O+) plasma, compared to the solution of a fourth-order polynomial equation for a hydrogen plasma. In some cases, diffusion coefficients for field-aligned waves can provide a valuable approximation for diffusion rates for oblique waves calculated using higher-order resonances. Bounce-averaged diffusion coefficients for field-aligned waves can be evaluated generally in minimal CPU time and can therefore be profitably incorporated into comprehensive kinetic radiation belt codes.</t>
  </si>
  <si>
    <t>Meredith, Nigel/0000-0001-5032-3463</t>
  </si>
  <si>
    <t>A04206</t>
  </si>
  <si>
    <t>10.1029/2006JA011801</t>
  </si>
  <si>
    <t>WOS:000245732100001</t>
  </si>
  <si>
    <t>Aydin, M; Williams, MB; Saltzman, ES</t>
  </si>
  <si>
    <t>Aydin, M.; Williams, M. B.; Saltzman, E. S.</t>
  </si>
  <si>
    <t>Feasibility of reconstructing paleoatmospheric records of selected alkanes, methyl halides, and sulfur gases from Greenland ice cores</t>
  </si>
  <si>
    <t>RESOLUTION MASS-SPECTROMETRY; ATMOSPHERIC CARBONYL SULFIDE; POLAR FIRN AIR; NORTH-ATLANTIC; NONMETHANE HYDROCARBONS; DIMETHYL SULFIDE; BACKGROUND AIR; TROPOSPHERE; BROMIDE; DISULFIDE</t>
  </si>
  <si>
    <t>Seven short-lived atmospheric trace gases were measured in 25 ice core samples from Summit, Greenland. Samples were selected from contemporaneous sections of fluid- and dry-drilled ice cores to examine what effects using n-butyl acetate as the drill fluid would have on the measurements. The gases include three light alkanes, C2H6, C3H6, and n-C4H10; two methyl halides, CH3Cl and CH3Br; and two sulfur compounds, OCS and CS2, with gas ages from 125 to 325 years before present. Alkane levels are comparable to measurements in modern Arctic air, although C2H6 exhibits greater variability than expected compared with C3H6 and n-C4H10. These results are not consistent with the idea that the alkanes are primarily of anthropogenic origin, suggesting that the ice cores may not truly record a paleoatmospheric signal with respect to these gases. The CH3Br results are consistent with previous observations of excess CH3Br in Greenland firn air. In situ production processes appear to overwhelm the paleoatmospheric signal of this gas. CH3Cl exhibits the same effect to a lesser extent. OCS levels are similar to those in Antarctic ice cores and appear to reflect paleoatmospheric levels. CS2 results are similar to the limited database of modern atmospheric measurements. Only C3H8 and n-C4H10 exhibit clear evidence of contamination because of the presence of the drill fluid. The results indicate that it is possible to analyze many trace gases in fluid- and dry-drilled ice samples. However, it appears that in situ production may significantly alter the levels of some trace gases in Greenland ice cores.</t>
  </si>
  <si>
    <t>Univ Calif Irvine, Dept Earth Syst Sci, Irvine, CA 92697 USA</t>
  </si>
  <si>
    <t>Aydin, M (corresponding author), Univ Calif Irvine, Dept Earth Syst Sci, Croul Hall 3206, Irvine, CA 92697 USA.</t>
  </si>
  <si>
    <t>maydin@uci.edu</t>
  </si>
  <si>
    <t>APR 12</t>
  </si>
  <si>
    <t>D7</t>
  </si>
  <si>
    <t>D07312</t>
  </si>
  <si>
    <t>10.1029/2006JD008027</t>
  </si>
  <si>
    <t>157NS</t>
  </si>
  <si>
    <t>Bronze, Green Published, Green Submitted</t>
  </si>
  <si>
    <t>WOS:000245727500005</t>
  </si>
  <si>
    <t>Odling-Smee, L</t>
  </si>
  <si>
    <t>Odling-Smee, L.</t>
  </si>
  <si>
    <t>Letting the light in on Antarctic ecosystems (vol 446, pg 9, 2007)</t>
  </si>
  <si>
    <t>Correction</t>
  </si>
  <si>
    <t>10.1038/446713b</t>
  </si>
  <si>
    <t>156CX</t>
  </si>
  <si>
    <t>WOS:000245626800008</t>
  </si>
  <si>
    <t>McCarthy, MP; Hernandez, G; Mactutis, A; Moore, JA</t>
  </si>
  <si>
    <t>McCarthy, Michael P.; Hernandez, G.; Mactutis, Anthony; Moore, John A.</t>
  </si>
  <si>
    <t>Validation of an 8-14 μm cloud monitor using visual observations of antarctic cloud cover</t>
  </si>
  <si>
    <t>EMITTED RADIANCE INTERFEROMETER</t>
  </si>
  <si>
    <t>A cloud monitor instrument, sensing 8-14 mu m infrared radiation, has been installed near McMurdo, Antarctica, in order to provide supporting cloud cover information for a high-resolution sky-viewing Fabry-Perot spectrometer experiment. Validation of the cloud monitor observations was performed by a 1 year long comparison with the available 6 h visual cloud observations, expressed in octas (obscured eighths of the sky). The agreement between visual observations and those of the cloud monitor is good-the variation being slightly over one step, or octa-except at the clear sky extreme, which the subjective visual observations tend to overestimate during dark and moonless conditions. Both visual observations and the cloud monitor measurements show an austral winter-summer difference with the winter being clearer. (c) 2007 Optical Society of America.</t>
  </si>
  <si>
    <t>Univ Washington, Dept Earth &amp; Space Sci, Seattle, WA 98195 USA; Univ Washington, Dept Elect Engn, Seattle, WA 98195 USA; Univ Washington, Dept Aeronaut &amp; Astronaut, Seattle, WA 98195 USA</t>
  </si>
  <si>
    <t>University of Washington; University of Washington Seattle; University of Washington; University of Washington Seattle; University of Washington; University of Washington Seattle</t>
  </si>
  <si>
    <t>McCarthy, MP (corresponding author), Univ Washington, Dept Earth &amp; Space Sci, Box 351310, Seattle, WA 98195 USA.</t>
  </si>
  <si>
    <t>mccarthy@u.washington.edu</t>
  </si>
  <si>
    <t>Hernandez, Gonzalo/0000-0003-4245-8696; MOORE, JOHN/0000-0001-5496-7004</t>
  </si>
  <si>
    <t>APR 10</t>
  </si>
  <si>
    <t>10.1364/AO.46.002091</t>
  </si>
  <si>
    <t>151UT</t>
  </si>
  <si>
    <t>WOS:000245317000019</t>
  </si>
  <si>
    <t>Nedoluha, GE; Benson, CM; Hoppel, KW; Alfred, J; Bevilacqua, RM; Drdla, K</t>
  </si>
  <si>
    <t>Nedoluha, Gerald E.; Benson, Craig M.; Hoppel, Karl W.; Alfred, Jerome; Bevilacqua, Richard M.; Drdla, Katja</t>
  </si>
  <si>
    <t>Antarctic dehydration 1998-2003: Polar ozone and aerosol measurement III (POAM) measurements and integrated microphysics and aerosol chemistry on trajectories (IMPACT) results with four meteorological models</t>
  </si>
  <si>
    <t>WATER-VAPOR; STRATOSPHERE; VORTEX</t>
  </si>
  <si>
    <t>[1] We present Polar Ozone and Aerosol Measurement III (POAM) measurements of Antarctic dehydration from 1998 to 2003 and compare these measurements with calculations performed with the Integrated Microphysics and Aerosol Chemistry on Trajectories (IMPACT) microphysical model. Previous work has shown that while dehydration is not very sensitive to reasonable changes of microphysical parameters, it is very sensitive to changes in temperature. We shall therefore compare dehydration as measured by POAM with IMPACT model runs based on four meteorological analyses: United Kingdom Meteorological Office (UKMO), European Centre for Medium-Range Weather Forecasts (ECMWF), National Centers for Environmental Prediction Climate Prediction Center (NCEP-CPC), and NCEP reanalysis. For the years 1998-2000, the agreement between the minimum water vapor found in the POAM measurements and that from all of the model runs is always within 0.5 ppmv. The disagreement between POAM and some of the models is larger in the years 2001-2003, growing as large as similar to 1 ppmv, but the agreement between the minimum POAM water vapor and the water vapor calculated using the NCEP reanalysis is always within 0.2 ppmv. If we infer a temperature bias from the difference between the NCEP reanalysis model runs and the POAM minimum water vapor measurements, we find that this temperature bias is &lt; 0.5 K for each of the 6 years from 1998 to 2003, but it is often larger for the other meteorological analyses.</t>
  </si>
  <si>
    <t>USN, Res Lab, Washington, DC 20375 USA; Computat Phys Inc, Springfield, VA USA; NASA, Ames Res Ctr, Moffett Field, CA 94035 USA</t>
  </si>
  <si>
    <t>United States Department of Defense; United States Navy; Naval Research Laboratory; Computational Physics Inc; National Aeronautics &amp; Space Administration (NASA); NASA Ames Research Center</t>
  </si>
  <si>
    <t>Nedoluha, GE (corresponding author), USN, Res Lab, 4555 Overlook Ave,Code 7277, Washington, DC 20375 USA.</t>
  </si>
  <si>
    <t>APR 7</t>
  </si>
  <si>
    <t>D07305</t>
  </si>
  <si>
    <t>10.1029/2006JD007414</t>
  </si>
  <si>
    <t>155MC</t>
  </si>
  <si>
    <t>WOS:000245580500004</t>
  </si>
  <si>
    <t>Panteleev, G; Proshutinsky, A; Kulakov, M; Nechaev, DA; Maslowski, W</t>
  </si>
  <si>
    <t>Panteleev, G.; Proshutinsky, A.; Kulakov, M.; Nechaev, D. A.; Maslowski, W.</t>
  </si>
  <si>
    <t>Investigation of the summer Kara Sea circulation employing a variational data assimilation technique</t>
  </si>
  <si>
    <t>BARENTS SEA; GENERAL-CIRCULATION; CLIMATOLOGICAL DATA; FITTING MODELS; OCEAN; ICE; VARIABILITY; HYDROGRAPHY; ALGORITHMS; VELOCITY</t>
  </si>
  <si>
    <t>[ 1] The summer circulations and hydrographic fields of the Kara Sea are reconstructed for mean, positive and negative Arctic Oscillation regimes employing a variational data assimilation technique which provides the best fit of reconstructed fields to climatological data and satisfies dynamical and kinematic constraints of a quasi-stationary primitive equation ocean circulation model. The reconstructed circulations agree well with the measurements and are characterized by inflow of 0.63, 0.8, 0.51 Sv through Kara Gate and 1.18, 1.1, 1.12 Sv between Novaya Zemlya and Franz Josef Land, for mean climatologic conditions, positive and negative AO indexes, respectively. The major regions of water outflow for these regimes are the St. Anna Trough (1.17, 1.21, 1.34 Sv) and Vilkitsky/ Shokalsky Straits (0.52, 0.7, 0.51 Sv). The optimized velocity pattern for the mean climatological summer reveals a strong anticyclonic circulation in the central part of the Kara Sea ( Region of Fresh Water Inflow, ROFI zone) and is confirmed by ADCP surveys and laboratory modeling. This circulation is well pronounced for both high and low AO phases, but in the positive AO phase it is shifted approximately 200 km west relatively to its climatological center. During the negative AO phase the ROFI locaion is close to its climatological position. The results of the variational data assimilation approach were compared with the simulated data from the Hamburg Shelf Ocean Model (HAMSOM) and Naval Postgraduate School 18 km resolution (NPS-18) model to validate these models.</t>
  </si>
  <si>
    <t>Univ Alaska Fairbanks, Inst Arctic Res Ctr, Fairbanks, AK 99775 USA; Woods Hole Oceanog Inst, Woods Hole, MA 02543 USA; Arctic &amp; Antarctic Res Inst, St Petersburg 199397, Russia; Univ So Mississippi, Dept Marine Sci, Stennis Space Ctr, MS 39529 USA; USN, Postgrad Sch, Dept Oceanog, Monterey, CA 93943 USA</t>
  </si>
  <si>
    <t>University of Alaska System; University of Alaska Fairbanks; Woods Hole Oceanographic Institution; Arctic &amp; Antarctic Research Institute; University of Southern Mississippi; United States Department of Defense; United States Navy; Naval Postgraduate School</t>
  </si>
  <si>
    <t>Panteleev, G (corresponding author), Univ Alaska Fairbanks, Inst Arctic Res Ctr, Fairbanks, AK 99775 USA.</t>
  </si>
  <si>
    <t>gleb@iarc.uaf.edu</t>
  </si>
  <si>
    <t>Kulakov, Mikhail/AAX-4924-2020</t>
  </si>
  <si>
    <t>APR 6</t>
  </si>
  <si>
    <t>C04S15</t>
  </si>
  <si>
    <t>10.1029/2006JC003728</t>
  </si>
  <si>
    <t>155MR</t>
  </si>
  <si>
    <t>WOS:000245582000004</t>
  </si>
  <si>
    <t>Duplessy, JC; Roche, DM; Kageyama, M</t>
  </si>
  <si>
    <t>Duplessy, J. C.; Roche, D. M.; Kageyama, M.</t>
  </si>
  <si>
    <t>The deep ocean during the last interglacial period</t>
  </si>
  <si>
    <t>ANTARCTIC ICE-SHEET; NORTH-ATLANTIC OCEAN; SOUTHERN-HEMISPHERE; SEA-LEVEL; INTERMEDIATE COMPLEXITY; GLACIAL MAXIMUM; TEMPERATURE; RECORD; CIRCULATION; WIDESPREAD</t>
  </si>
  <si>
    <t>Oxygen isotope analysis of benthic foraminifera in deep sea cores from the Atlantic and Southern Oceans shows that during the last interglacial period, North Atlantic Deep Water (NADW) was 0.4 degrees +/- 0.2 degrees C warmer than today, whereas Antarctic Bottom Water temperatures were unchanged. Model simulations show that this distribution of deep water temperatures can be explained as a response of the ocean to forcing by high-latitude insolation. The warming of NADW was transferred to the Circumpolar Deep Water, providing additional heat around Antarctica, which may have been responsible for partial melting of the West Antarctic Ice Sheet.</t>
  </si>
  <si>
    <t>Univ Versailles, CNRS,CEA,UVSQ, LSCE,IPSL, Lab Commissarial Energie Atom, F-91198 Gif Sur Yvette, France; Vrije Univ Amsterdam, Dept Paleoclimatol &amp; Geomorphol, NL-1081 HV Amsterdam, Netherlands; Univ Versailles, CNRS,Lab CEA,UVSQ, LSCE,IPSL, Lab Sci Climat &amp; Environm, F-91198 Gif Sur Yvette, France</t>
  </si>
  <si>
    <t>Universite Paris Cite; Universite Paris Saclay; CEA; Centre National de la Recherche Scientifique (CNRS); Vrije Universiteit Amsterdam; Universite Paris Saclay; CEA; Centre National de la Recherche Scientifique (CNRS); Universite Paris Cite</t>
  </si>
  <si>
    <t>Duplessy, JC (corresponding author), Univ Versailles, CNRS,CEA,UVSQ, LSCE,IPSL, Lab Commissarial Energie Atom, Parc CNRS, F-91198 Gif Sur Yvette, France.</t>
  </si>
  <si>
    <t>Jean-Claude.Duplessy@lsce.cnrs-gif.fr</t>
  </si>
  <si>
    <t>Roche, Didier M./C-9875-2010; Kageyama, Masa/F-2389-2010</t>
  </si>
  <si>
    <t>Roche, Didier M./0000-0001-6272-9428; Kageyama, Masa/0000-0003-0822-5880</t>
  </si>
  <si>
    <t>10.1126/science.1138582</t>
  </si>
  <si>
    <t>153XD</t>
  </si>
  <si>
    <t>WOS:000245470500037</t>
  </si>
  <si>
    <t>Fripiat, F; Cardinal, D; Tison, JL; Worby, A; André, L</t>
  </si>
  <si>
    <t>Fripiat, Francois; Cardinal, Damien; Tison, Jean-Louis; Worby, Anthony; Andre, Luc</t>
  </si>
  <si>
    <t>Diatom-induced silicon isotopic fractionation in Antarctic sea ice</t>
  </si>
  <si>
    <t>JOURNAL OF GEOPHYSICAL RESEARCH-BIOGEOSCIENCES</t>
  </si>
  <si>
    <t>SOUTHERN-OCEAN; WEDDELL SEA; BIOGENIC SILICA; WATER COLUMN; PACK ICE; ROSS-SEA; ALGAE; BRINE; ASSEMBLAGES; CARBON</t>
  </si>
  <si>
    <t>[1] In this study, we measure the silicon-isotopic composition delta Si-29,%, relative to NBS28 quartz standard) of dissolved silicon and biogenic silica collected by sequential melting from spring Antarctic pack ice collected near 117 degrees E-64.5 degrees S. This work aims to investigate the use of Si isotopes to quantify the activity of sea-ice diatoms in the different brine structures and the influence of sea- ice diatoms on the spring ice edge blooms. From three cores with contrasted physico-chemical characteristics, we report significant isotopic fractionations linked to diatom activity with distinct silicon biogeochemical dynamics between different brine structures. The diatoms in snow ice and in brine pockets of frazil or congelation ice have the heavier silicon-isotopic composition (+0.53 to +0.86 parts per thousand), indicating that they grow in a closed system and use a significant fraction of the small dissolved silicon pool available. In the brine channels and skeletal layer, diatoms display a relatively lower silicon-isotopic composition (+0.41 to +0.70 parts per thousand), although it is still relatively positive compared to expected equilibrium fractionation. This suggests that the diatoms have grown in a semi-closed system where the dissolved silicon pool (i.e., brine) is partially replenished. The silicon-isotopic composition (+0.63%) of the sea- ice diatoms is much heavier than the one of biogenic silica in the seasonal ice zone mixed layer (+0.09 parts per thousand). Our results suggest that sea- ice diatoms either contribute to an insignificant part of the whole diatom biomass in the upper water layer, or that they are directly exported below the mixed layer.</t>
  </si>
  <si>
    <t>Royal Museum Cent Africa, Dept Geol &amp; Mineral, Sect Mineral &amp; Petrog, B-3080 Tervuren, Belgium; Univ Libre Bruxelles, Unite Glaciol, Dept Sci Terre &amp; Environm, B-1050 Brussels, Belgium; Australian Antarctic Div, Dept Environm &amp; Water, Kingston, Tas 7050, Australia; Univ Libre Bruxelles, Lab Glaciol Polaire, Dept Sci Terre &amp; Environm, Brussels, Belgium; Antarctic Climate &amp; Ecosyst Cooperat Res Ctr, Hobart, Tas, Australia</t>
  </si>
  <si>
    <t>Royal Museum for Central Africa; Universite Libre de Bruxelles; Australian Antarctic Division; Universite Libre de Bruxelles; Antarctic Climate &amp; Ecosystems Cooperative Research Centre (ACE CRC)</t>
  </si>
  <si>
    <t>Fripiat, F (corresponding author), Royal Museum Cent Africa, Dept Geol &amp; Mineral, Sect Mineral &amp; Petrog, Leuvensesteenweg 13, B-3080 Tervuren, Belgium.</t>
  </si>
  <si>
    <t>ffripiat@africamuseum.be; damien.cardinal@africamuseum.be; jtison@ulb.ac.be; a.worby@utas.edu.au; lucandre@africamuseum.be</t>
  </si>
  <si>
    <t>Fripiat, François/ABB-8918-2021; Cardinal, Damien/AAM-6215-2021; Worby, Anthony P/A-2373-2012; Tison, Jean-Louis/F-4065-2015</t>
  </si>
  <si>
    <t>Cardinal, Damien/0000-0003-1238-8412; Andre, Luc/0000-0002-7286-0072; Fripiat, Francois/0000-0002-2591-6301; Tison, Jean-Louis/0000-0002-9758-3454</t>
  </si>
  <si>
    <t>2169-8953</t>
  </si>
  <si>
    <t>2169-8961</t>
  </si>
  <si>
    <t>J GEOPHYS RES-BIOGEO</t>
  </si>
  <si>
    <t>J. Geophys. Res.-Biogeosci.</t>
  </si>
  <si>
    <t>APR 5</t>
  </si>
  <si>
    <t>G2</t>
  </si>
  <si>
    <t>G02001</t>
  </si>
  <si>
    <t>10.1029/2006JG000244</t>
  </si>
  <si>
    <t>Environmental Sciences; Geosciences, Multidisciplinary</t>
  </si>
  <si>
    <t>Environmental Sciences &amp; Ecology; Geology</t>
  </si>
  <si>
    <t>155MI</t>
  </si>
  <si>
    <t>WOS:000245581100001</t>
  </si>
  <si>
    <t>Petti, MAV; Nonato, EF; Bromberg, S; Gheller, PF; Paiva, PC; Corbisier, TN</t>
  </si>
  <si>
    <t>Petti, Monica A. Varella; Nonato, Edmundo F.; Bromberg, Sandra; Gheller, Paula F.; Paiva, Paulo Cesar; Corbisier, Thais N.</t>
  </si>
  <si>
    <t>On the taxonomy of Apistobranchus species (Polychaeta: Apistobranchidae) from the Antarctic</t>
  </si>
  <si>
    <t>Antarctica; Polychaeta; benthos; soft-bottom; macrofauna; Apistobranchus; Admiralty Bay</t>
  </si>
  <si>
    <t>KING-GEORGE-ISLAND; SOUTH-SHETLAND-ISLANDS; ADMIRALTY BAY; MARTEL-INLET; NEARSHORE ZONE; SOFT BOTTOMS; BIOMASS</t>
  </si>
  <si>
    <t>The first report of Apistobranchus Levinsen, 1883 (Family Apistobranchidae) in Antarctica was presented by Hartman (1967). Two species were later described: Apistobranchus glacierae Hartman, 1978 and Apistobranchus gudrunae Hartmann-Schroder &amp; Rosenfeldt, 1988, which differed from A. glacierae mainly by having compound setae. Subsequently, ecological studies in Antarctica have identified both of these species. On the status of Antarctic Apistobranchus, we concluded that there is up to now, only one valid species, A. glacierae. The character 'compound-setae' referred for A. gudrunae is in fact simple limbate ones eventually splintered as described for A. glacierae. Other characters, also previously considered as diagnostics for A. gudrunae, did not differ in both species as shown by the observation of several specimens of different sizes and type material of A. glacierae and A. gudrunae. All the reports on the densities of Antarctic apistobranchids, including ours, show that they have higher values in finer sediments of 20 and 40 m depth. The need of additional work, including the rearing of specimens in the laboratory and plankton analysis, is emphasized.</t>
  </si>
  <si>
    <t>Univ Sao Paulo, Inst Oceanog, BR-05508900 Sao Paulo, Brazil; Univ Fed Rio de Janeiro, Inst Biol, Rio De Janeiro, Brazil</t>
  </si>
  <si>
    <t>Universidade de Sao Paulo; Universidade Federal do Rio de Janeiro</t>
  </si>
  <si>
    <t>Petti, MAV (corresponding author), Univ Sao Paulo, Inst Oceanog, Praca Oceanog,191, BR-05508900 Sao Paulo, Brazil.</t>
  </si>
  <si>
    <t>mapetti@usp.br</t>
  </si>
  <si>
    <t>Corbisier, Thais N./R-8255-2017; Bromberg, Sandra/S-6266-2016; de Paiva, Paulo Cesar/N-1234-2019; Petti, Monica A V/S-6367-2016</t>
  </si>
  <si>
    <t>de Paiva, Paulo Cesar/0000-0003-1061-6549;</t>
  </si>
  <si>
    <t>10.11646/zootaxa.1440.1.4</t>
  </si>
  <si>
    <t>154DQ</t>
  </si>
  <si>
    <t>WOS:000245487400004</t>
  </si>
  <si>
    <t>Pearce, I; Davidson, AT; Bell, EM; Wright, S</t>
  </si>
  <si>
    <t>Pearce, Imojen; Davidson, Andrew T.; Bell, Elanor M.; Wright, Simon</t>
  </si>
  <si>
    <t>Seasonal changes in the concentration and metabolic activity of bacteria and viruses at an Antarctic coastal site</t>
  </si>
  <si>
    <t>AQUATIC MICROBIAL ECOLOGY</t>
  </si>
  <si>
    <t>Antarctic; bacteria; viruses; metabolic activity; DOC</t>
  </si>
  <si>
    <t>SEA-ICE; MARINE BACTERIOPLANKTON; MICROBIAL DYNAMICS; SOUTHERN-OCEAN; ALGAL BLOOM; ABUNDANCE; GROWTH; CARBON; TEMPERATURE; WATERS</t>
  </si>
  <si>
    <t>Bacteria play a key role in the world's oceans, supporting nutrient remineralisation and mediating carbon transfer. Little is known about annual changes in bacterial concentration, production and metabolism during the extreme seasonal changes in biological productivity in Antarctic waters. We measured rates of bacterial production, concentrations of viruses and bacteria and environmental parameters between February 2004 and January 2005 at an Antarctic coastal site. Concentrations of total bacteria and viruses were obtained using 4', 6-diamidino-2-phenylindole (DAPI) and SYBR Green I (Molecular Probes), respectively. Populations of bacteria in different metabolic states were estimated using vital stains. Concentrations of bacteria with intact or compromised plasma membranes were estimated using BacLight (Molecular Probes) and active cells estimated using 6-carboxyfluorescein diacetate (6CFDA). Our study showed 6CFDA and BacLight gave rapid and ecologically valuable insights into bacterial physiology, production and growth in natural Antarctic communities that were poorly represented by changes in total cell concentrations. Concentrations of total, active and intact bacteria declined rapidly at the end of summer probably owing to viral infection and microheterotrophic grazing. The decline continued over winter, likely owing to substrate limitation, and concentrations only increased after the phytoplankton bloom in spring and summer. Bacterial abundance was positively correlated with particulate organic carbon (POC) and nitrogen (PON), but not dissolved organic carbon (DOC), reflecting the refractory nature of the DOC pool. Only active and intact bacteria were significantly correlated with concentrations of chl a and rates of bacterial production. Furthermore, the obtained rates of [H-3]thymidine uptake suggest that bacterial growth rates can be sustained by the populations identified as intact or by active cells alone.</t>
  </si>
  <si>
    <t>Australian Antarctic Div, Kingston, Tas 7050, Australia; Univ Potsdam, Inst Biochem &amp; Biol, Dept Ecol &amp; Ecosyst Modelling, D-14469 Potsdam, Germany</t>
  </si>
  <si>
    <t>Australian Antarctic Division; University of Potsdam</t>
  </si>
  <si>
    <t>Davidson, AT (corresponding author), Australian Antarctic Div, Channel Highway, Kingston, Tas 7050, Australia.</t>
  </si>
  <si>
    <t>andrew.davidson@aad.gov.au</t>
  </si>
  <si>
    <t>INTER-RESEARCH</t>
  </si>
  <si>
    <t>OLDENDORF LUHE</t>
  </si>
  <si>
    <t>NORDBUNTE 23, D-21385 OLDENDORF LUHE, GERMANY</t>
  </si>
  <si>
    <t>0948-3055</t>
  </si>
  <si>
    <t>1616-1564</t>
  </si>
  <si>
    <t>AQUAT MICROB ECOL</t>
  </si>
  <si>
    <t>Aquat. Microb. Ecol.</t>
  </si>
  <si>
    <t>APR 3</t>
  </si>
  <si>
    <t>10.3354/ame047011</t>
  </si>
  <si>
    <t>Ecology; Marine &amp; Freshwater Biology; Microbiology</t>
  </si>
  <si>
    <t>Environmental Sciences &amp; Ecology; Marine &amp; Freshwater Biology; Microbiology</t>
  </si>
  <si>
    <t>162IY</t>
  </si>
  <si>
    <t>WOS:000246081700002</t>
  </si>
  <si>
    <t>Williams, N</t>
  </si>
  <si>
    <t>Williams, Nigel</t>
  </si>
  <si>
    <t>Antarctic life changes</t>
  </si>
  <si>
    <t>CURRENT BIOLOGY</t>
  </si>
  <si>
    <t>CELL PRESS</t>
  </si>
  <si>
    <t>1100 MASSACHUSETTS AVE, CAMBRIDGE, MA 02138 USA</t>
  </si>
  <si>
    <t>0960-9822</t>
  </si>
  <si>
    <t>CURR BIOL</t>
  </si>
  <si>
    <t>Curr. Biol.</t>
  </si>
  <si>
    <t>R224</t>
  </si>
  <si>
    <t>R225</t>
  </si>
  <si>
    <t>10.1016/j.cub.2007.03.026</t>
  </si>
  <si>
    <t>Biochemistry &amp; Molecular Biology; Biology; Cell Biology</t>
  </si>
  <si>
    <t>Biochemistry &amp; Molecular Biology; Life Sciences &amp; Biomedicine - Other Topics; Cell Biology</t>
  </si>
  <si>
    <t>155IX</t>
  </si>
  <si>
    <t>WOS:000245572200002</t>
  </si>
  <si>
    <t>McConnell, JR; Aristarain, AJ; Banta, JR; Edwards, PR; Simoes, JC</t>
  </si>
  <si>
    <t>McConnell, Joseph R.; Aristarain, Alberto J.; Banta, J. Ryan; Edwards, P. Ross; Simoes, Jefferson C.</t>
  </si>
  <si>
    <t>20th-Century doubling in dust archived in an Antarctic Peninsula ice core parallels climate change and desertification in South America</t>
  </si>
  <si>
    <t>MICROPARTICLE CONCENTRATION; GREENLAND; AEROSOLS; VARIABILITY; RECORD; OCEAN; ABSORPTION; PROVENANCE</t>
  </si>
  <si>
    <t>Crustal dust in the atmosphere impacts Earth's radiative forcing directly by modifying the radiation budget and affecting cloud nucleation and optical properties, and indirectly through ocean fertilization, which alters carbon sequestration. Increased dust in the atmosphere has been linked to decreased global air temperature in past ice core studies of glacial to interglacial transitions. We present a continuous ice core record of aluminum deposition during recent centuries in the northern Antarctic Peninsula, the most rapidly warming region of the Southern Hemisphere; such a record has not been reported previously. This record shows that aluminosilicate dust deposition more than doubled during the 20th century, coincident with the approximate to 1 degrees C Southern Hemisphere warming: a pattern in parallel with increasing air temperatures, decreasing relative humidity, and widespread desertification in Patagonia and northern Argentina. These results have far-reaching implications for understanding the forces driving dust generation and impacts of changing dust levels on climate both in the recent past and future.</t>
  </si>
  <si>
    <t>Nevada Syst Higher Educ, Desert Res Inst, Reno, NV 89512 USA; Ctr Reg Invest Cientificas &amp; Tecnol, Inst Antartico Argentino, Lab Estratigrafia Glaciar &amp; Geoquim Agua &amp; Nieve, RA-5500 Mendoza, Argentina; Univ Fed Rio Grande do Sul, Nucl Pesquisas Antarct &amp; Climat, BR-90040060 Porto Alegre, RS, Brazil</t>
  </si>
  <si>
    <t>Nevada System of Higher Education (NSHE); Desert Research Institute NSHE; Instituto Antartico Argentino; Universidade Federal do Rio Grande do Sul</t>
  </si>
  <si>
    <t>McConnell, JR (corresponding author), Nevada Syst Higher Educ, Desert Res Inst, Reno, NV 89512 USA.</t>
  </si>
  <si>
    <t>joe.mcconnell@dri.edu</t>
  </si>
  <si>
    <t>Simoes, Jefferson Cardia/D-7232-2013; Edwards, Ross/B-1433-2013</t>
  </si>
  <si>
    <t>Simoes, Jefferson Cardia/0000-0001-5555-3401; Edwards, Ross/0000-0002-9233-8775</t>
  </si>
  <si>
    <t>10.1073/pnas.0607657104</t>
  </si>
  <si>
    <t>156OA</t>
  </si>
  <si>
    <t>WOS:000245657600010</t>
  </si>
  <si>
    <t>Santarelli, L; Cafarella, L; Lepidi, S; Di Mauro, D; Meloni, A; Palangio, P</t>
  </si>
  <si>
    <t>Santarelli, Lucia; Cafarella, Lili; Lepidi, Stefania; Di Mauro, Domenico; Meloni, Antonio; Palangio, Paolo</t>
  </si>
  <si>
    <t>Fourteen years of geomagnetic daily variation at Mario Zucchelli Station (Antarctica)</t>
  </si>
  <si>
    <t>ANNALS OF GEOPHYSICS</t>
  </si>
  <si>
    <t>geomagnetic daily variation; polar areas</t>
  </si>
  <si>
    <t>NOVA BAY ANTARCTICA; FIELD</t>
  </si>
  <si>
    <t>During the 1986-87 austral summer a geomagnetic observatory was installed at the Italian Antarctic Base Mario Zucchelli Station. In the first three years continuous time variation monitoring and absolute measurements of the geomagnetic field were carried out only during summer expeditions. Starting in 1991 an automatic acquisition system operating throughout the year was put into operation. We present here some peculiarities of the daily variation as observed for fourteen years (1987-2000). The availability of a long series of data has allowed the definition of seasonal, as well as solar cycle effects, on short time variations as observed at a cusp-cap observatory. In particular, contrary to mid latitude behaviour, a clear dependence of the daily variation amplitude on the global geomagnetic K, index was well defined.</t>
  </si>
  <si>
    <t>Osservat Geofis Aquila, Ist Nazl Geofis &amp; Vulcanol, I-67100 Laquila, Italy; Ist Nazl Geofis &amp; Vulcanol, Rome, Italy</t>
  </si>
  <si>
    <t>Istituto Nazionale Geofisica e Vulcanologia (INGV); Istituto Nazionale Geofisica e Vulcanologia (INGV)</t>
  </si>
  <si>
    <t>Santarelli, L (corresponding author), Osservat Geofis Aquila, Ist Nazl Geofis &amp; Vulcanol, Castello Cinquecentesco,Via Castello, I-67100 Laquila, Italy.</t>
  </si>
  <si>
    <t>santarelli@ingv.it</t>
  </si>
  <si>
    <t>Cafarella, Lili/HTO-5890-2023; Lepidi, Stefania/HGU-5046-2022; Di Mauro, Domenico/ABD-6663-2021; cafarella, lili/G-4160-2011</t>
  </si>
  <si>
    <t>Di Mauro, Domenico/0000-0003-1757-9816; cafarella, lili/0000-0003-2005-8923; Santarelli, Lucia/0000-0002-4134-1560</t>
  </si>
  <si>
    <t>EDITRICE COMPOSITORI BOLOGNA</t>
  </si>
  <si>
    <t>VIA STALINGRADO 97/2, I-40128 BOLOGNA, ITALY</t>
  </si>
  <si>
    <t>1593-5213</t>
  </si>
  <si>
    <t>ANN GEOPHYS-ITALY</t>
  </si>
  <si>
    <t>Ann. Geophys.</t>
  </si>
  <si>
    <t>APR</t>
  </si>
  <si>
    <t>226UK</t>
  </si>
  <si>
    <t>WOS:000250613800008</t>
  </si>
  <si>
    <t>Gilichinsky, DA; Wilson, GS; Friedmann, EI; Mckay, CP; Sletten, RS; Rivkina, EM; Vishnivetskaya, TA; Erokhina, LG; Ivanushkina, NE; Kochkina, GA; Shcherbakova, VA; Soina, VS; Spirina, EV; Vorobyova, EA; Fyodorov-Davydov, DG; Hallet, B; Ozerskaya, SM; Sorokovikov, VA; Laurinavichyus, KS; Shatilovich, A; Chanton, JP; Ostroumov, VE; Tiedje, JM</t>
  </si>
  <si>
    <t>Gilichinsky, D. A.; Wilson, G. S.; Friedmann, E. I.; McKay, C. P.; Sletten, R. S.; Rivkina, E. M.; Vishnivetskaya, T. A.; Erokhina, L. G.; Ivanushkina, N. E.; Kochkina, G. A.; Shcherbakova, V. A.; Soina, V. S.; Spirina, E. V.; Vorobyova, E. A.; Fyodorov-Davydov, D. G.; Hallet, B.; Ozerskaya, S. M.; Sorokovikov, V. A.; Laurinavichyus, K. S.; Shatilovich, An.; Chanton, J. P.; Ostroumov, V. E.; Tiedje, J. M.</t>
  </si>
  <si>
    <t>Microbial Populations in Antarctic permafrost: Biodiversity, state, age, and implication for astrobiology</t>
  </si>
  <si>
    <t>Antarctica; permafrost; viable microorganisms; ancient ecosystem; extraterrestrial model; astrobiology</t>
  </si>
  <si>
    <t>SOUTHERN VICTORIA LAND; MCMURDO DRY VALLEYS; MIOCENE GLACIER ICE; BLUE-GREEN-ALGAE; BEACON VALLEY; EARLY MARS; ARCHAEAL ISOLATE; ROSS EMBAYMENT; TAYLOR VALLEY; MICROORGANISMS</t>
  </si>
  <si>
    <t>Antarctic permafrost soils have not received as much geocryological and biological study as has been devoted to the ice sheet, though the permafrost is more stable and older and inhabited by more microbes. This makes these soils potentially more informative and a more significant microbial repository than ice sheets. Due to the stability of the subsurface physicochemical regime, Antarctic permafrost is not an extreme environment but a balanced natural one. Up to 104 viable cells/g, whose age presumably corresponds to the longevity of the permanently frozen state of the sediments, have been isolated from Antarctic permafrost. Along with the microbes, metabolic by-products are preserved. This presumed natural cryopreservation makes it possible to observe what may be the oldest microbial communities on Earth. Here, we describe the Antarctic permafrost habitat and biodiversity and provide a model for martian ecosystems.</t>
  </si>
  <si>
    <t>Russian Acad Sci, Inst Physicochem &amp; Biol Problems Soil Sci, Pushchino 142292, Moscow Region, Russia; Russian Acad Sci, Inst Basic Biol Problems, Pushchino 142292, Moscow Region, Russia; Russian Acad Sci, Inst Biochem &amp; Physiol Microorganisms, Pushchino 142292, Moscow Region, Russia; Univ Otago, Dept Geol, Dunedin, New Zealand; NASA, Ames Res Ctr, Div Space Sci, Moffett Field, CA 94035 USA; Univ Washington, Dept Earth &amp; Space Sci, Seattle, WA 98195 USA; Univ Washington, Quaternary Res Ctr, Seattle, WA 98195 USA; Moscow MV Lomonosov State Univ, Dept Soil Sci, Moscow, Russia; Florida State Univ, Dept Oceanog, Tallahassee, FL 32306 USA; Michigan State Univ, Ctr Microbial Ecol, E Lansing, MI 48824 USA</t>
  </si>
  <si>
    <t>Russian Academy of Sciences; Pushchino Scientific Center for Biological Research (PSCBI) of the Russian Academy of Sciences; Institute of Physicohemical &amp; Biological Problems of Soil Science; Russian Academy of Sciences; Russian Academy of Sciences; Pushchino Scientific Center for Biological Research (PSCBI) of the Russian Academy of Sciences; University of Otago; National Aeronautics &amp; Space Administration (NASA); NASA Ames Research Center; University of Washington; University of Washington Seattle; University of Washington; University of Washington Seattle; Lomonosov Moscow State University; State University System of Florida; Florida State University; Michigan State University</t>
  </si>
  <si>
    <t>Gilichinsky, DA (corresponding author), Russian Acad Sci, Inst Physicochem &amp; Biol Problems Soil Sci, Pushchino 142292, Moscow Region, Russia.</t>
  </si>
  <si>
    <t>dgilichin@issp.serpukhov.su</t>
  </si>
  <si>
    <t>Ozerskaya, Svetlana/J-3821-2018; Vorobyova, Elena/ABF-3374-2021; Wilson, Gary S/B-3803-2010; Nataliya, Ivanushkina/AAR-7639-2020; Shatilovich, Anastasia/J-6013-2018; Shcherbakova, Viktoria/G-9703-2014; Ozerskaya, Svetlana M./C-3004-2008; KOCHKINA, GALINA/AAR-7765-2020; Vishnivetskaya, Tatiana/A-4488-2008; Ostroumov, Vladimir/J-5157-2018; Spirina, Elena/H-2654-2013; Rivkina, Elizaveta/O-5344-2014</t>
  </si>
  <si>
    <t>Ozerskaya, Svetlana/0000-0002-0373-7521; Vorobyova, Elena/0000-0002-4636-9933; Nataliya, Ivanushkina/0000-0001-6720-6626; Shatilovich, Anastasia/0000-0003-1858-0114; KOCHKINA, GALINA/0000-0002-5893-7782; Vishnivetskaya, Tatiana/0000-0002-0660-023X; Wilson, Gary/0000-0003-0025-3641; Spirina, Elena/0000-0002-9614-373X; McKay, Christopher/0000-0002-6243-1362; Rivkina, Elizaveta/0000-0001-7949-8056</t>
  </si>
  <si>
    <t>10.1089/ast.2006.0012</t>
  </si>
  <si>
    <t>170RC</t>
  </si>
  <si>
    <t>WOS:000246680700001</t>
  </si>
  <si>
    <t>Alvarez-Madrigal, M; Pérez-Peraza, J</t>
  </si>
  <si>
    <t>Alvarez-Madrigal, M.; Perez-Peraza, J.</t>
  </si>
  <si>
    <t>Differences in the monthly evolution of the Antarctic ozone hole size</t>
  </si>
  <si>
    <t>ATMOSFERA</t>
  </si>
  <si>
    <t>ozone hole; Antarctic; ozone depletion; ozone recovery</t>
  </si>
  <si>
    <t>We study here the evolution of the ozone hole size (OHS) with the aim of contributing to understand the long term evolution and the origin of the discrepancies between modeled and observed size. Using the September, October and November monthly average data of the OHS, for the years 1982-2003, we separate the series into two components: a linear and a residual one. The residual OHS components for October-November, shows a tendency to decrease after 1997, whereas the residual component of September does not show a clear decrease. The OHS during September evolve different, in relation to the other months. Therefore, the earlier results for the OHS analysis obtained with an annual approach may be refined.</t>
  </si>
  <si>
    <t>Tecnol Monterrey, Carretera Lago Guadalupe, Mexico City 52926, DF, Mexico; Univ Nacl Autonoma Mexico, Inst Geofis, Mexico City 04510, DF, Mexico</t>
  </si>
  <si>
    <t>Tecnologico de Monterrey; Universidad Nacional Autonoma de Mexico</t>
  </si>
  <si>
    <t>Alvarez-Madrigal, M (corresponding author), Tecnol Monterrey, Carretera Lago Guadalupe, Campus Estado Mexico,Km 3-5 Estado Mexico, Mexico City 52926, DF, Mexico.</t>
  </si>
  <si>
    <t>mmadrigal@itesm.mx</t>
  </si>
  <si>
    <t>Perez y Peraza, Jorge/0000-0001-8998-3653</t>
  </si>
  <si>
    <t>CENTRO CIENCIAS ATMOSFERA UNAM</t>
  </si>
  <si>
    <t>MEXICO CITY</t>
  </si>
  <si>
    <t>CIRCUITO EXTERIOR, MEXICO CITY CU 04510, MEXICO</t>
  </si>
  <si>
    <t>0187-6236</t>
  </si>
  <si>
    <t>Atmosfera</t>
  </si>
  <si>
    <t>APR 1</t>
  </si>
  <si>
    <t>169BY</t>
  </si>
  <si>
    <t>WOS:000246568900006</t>
  </si>
  <si>
    <t>Low, M; Alley, MR; Minot, E</t>
  </si>
  <si>
    <t>Low, Matthew; Alley, Maurice R.; Minot, Ed</t>
  </si>
  <si>
    <t>Sub-lingual oral fistulas in free-living stitchbirds (Notiomystis cinctia)</t>
  </si>
  <si>
    <t>AVIAN PATHOLOGY</t>
  </si>
  <si>
    <t>FORCED COPULATION; NEW-ZEALAND; HIHI; ASPERGILLOSIS</t>
  </si>
  <si>
    <t>Sub-lingual oral fistulas are a consistently observed lesion affecting the New Zealand stitchbird (hihi: Notiomystis cincta). This lesion, which has not been reported in other species, is usually only recognized when the tongue protrudes below the bird's mandible from a hole in the oral-cavity floor. In this study, we surveyed the prevalence of oral fistulas in a free-living population of stitchbirds on Tiritiri Matangi Island in 2002, 2003 and 2005. Between surveys, individuals with a fistula were caught and the progress of their lesion was monitored. The majority of birds with a fistula had a small localized lesion alongside the edge of the mandible without the tongue protruding. Oral fistulas were generally not associated with any reduction in the bird's condition or productivity, but if the tongue consistently deviated through the fistula it affected nectar-feeding efficiency. No fistulas were found in nestlings, but 9% to 10% of adult birds had some form of oral fistula, suggesting that it developed after fledging. Repeated measurement of birds showed that the size of the fistulas did not progress beyond the formation of the initial hole unless the tongue protruded. This protrusion resulted in continuous rubbing and erosion of the oral cavity floor and, ultimately, the mandible itself. Histopathology confirmed that fistulas occur in the thinnest part of the floor of the oral cavity, at the attachment point of the skin to the mandible. Despite long-term monitoring of this population, the formation of an oral fistula has never been observed and its aetiology remains elusive.</t>
  </si>
  <si>
    <t>Massey Univ, Ecol Grp, Inst Nat Resources, Palmerston North, New Zealand; Massey Univ, Inst Vet Anim &amp; Biomed Sci, Palmerston North, New Zealand</t>
  </si>
  <si>
    <t>Massey University; Massey University</t>
  </si>
  <si>
    <t>Low, M (corresponding author), So Ocean Ecosyst Program, Australian Antarctic Div, 203 Channel Highway, Kingston, Tas 7050, Australia.</t>
  </si>
  <si>
    <t>Alley, Maurice/0000-0002-4321-2092; Low, Matthew/0000-0002-7345-6063</t>
  </si>
  <si>
    <t>4 PARK SQUARE, MILTON PARK, ABINGDON OX14 4RN, OXON, ENGLAND</t>
  </si>
  <si>
    <t>0307-9457</t>
  </si>
  <si>
    <t>AVIAN PATHOL</t>
  </si>
  <si>
    <t>Avian Pathol.</t>
  </si>
  <si>
    <t>10.1080/03079450601142570</t>
  </si>
  <si>
    <t>161AK</t>
  </si>
  <si>
    <t>WOS:000245986500003</t>
  </si>
  <si>
    <t>Pace, DA; Manahan, DT</t>
  </si>
  <si>
    <t>Pace, Douglas A.; Manahan, Donal T.</t>
  </si>
  <si>
    <t>Cost of protein synthesis and energy allocation during development of Antarctic sea urchin embryos and larvae</t>
  </si>
  <si>
    <t>BIOLOGICAL BULLETIN</t>
  </si>
  <si>
    <t>METABOLIC COLD ADAPTATION; MARINE INVERTEBRATE EMBRYOS; CATFISH CLARIAS-GARIEPINUS; NA+/K+-ATPASE ACTIVITY; YOLK-SAC LARVAE; OXYGEN-CONSUMPTION; HALIOTIS-RUFESCENS; STRONGYLOCENTROTUS-PURPURATUS; MYTILUS-EDULIS; ABSOLUTE RATES</t>
  </si>
  <si>
    <t>Cold environments represent a substantial volume of the biosphere. To study developmental physiology in subzero seawater temperatures typically found in the Southern Ocean, rates and costs of protein synthesis were measured in embryos and larvae of Sterechinus neumayeri, the Antarctic sea urchin. Our analysis of the '' cost of living '' in extreme cold for this species shows (1) that cost of protein synthesis is strikingly low during development, at 0.41 +/- 0.05 J (mg protein synthesized)(-1) (n = 16); (2) that synthesis cost is fixed and independent of synthesis rate; and (3) that a low synthesis cost permits high rates of protein turnover at -1 degrees C, at rates comparable to those of temperate species of sea urchin embryos developing at 15 degrees C. With a low synthesis cost, even at the highest synthesis rates measured (gastrulae), the proportion of total metabolism accounted for by protein synthesis in the Antarctic sea urchin was 54%-a value similar to that of temperate sea urchin embryos. In the Antarctic sea urchin, up to 87% of metabolic rate can be accounted for by the combined energy costs of protein synthesis and the sodium pump. We conclude that, in Antarctic sea urchin embryos, high rates of protein synthesis can be supported in extreme-cold environments while still maintaining low rates of respiration.</t>
  </si>
  <si>
    <t>Univ So Calif, Dept Biol Sci, Los Angeles, CA 90089 USA</t>
  </si>
  <si>
    <t>University of Southern California</t>
  </si>
  <si>
    <t>Manahan, DT (corresponding author), Univ So Calif, Dept Biol Sci, Los Angeles, CA 90089 USA.</t>
  </si>
  <si>
    <t>manahan@usc.edu</t>
  </si>
  <si>
    <t>0006-3185</t>
  </si>
  <si>
    <t>1939-8697</t>
  </si>
  <si>
    <t>BIOL BULL-US</t>
  </si>
  <si>
    <t>Biol. Bull.</t>
  </si>
  <si>
    <t>10.2307/25066589</t>
  </si>
  <si>
    <t>Biology; Marine &amp; Freshwater Biology</t>
  </si>
  <si>
    <t>Life Sciences &amp; Biomedicine - Other Topics; Marine &amp; Freshwater Biology</t>
  </si>
  <si>
    <t>160IH</t>
  </si>
  <si>
    <t>WOS:000245933600004</t>
  </si>
  <si>
    <t>Kent, E; Woodruff, S; Rayner, N; Arbetter, T; Folland, C; Koek, F; Parker, D; Reynolds, R; Saunders, R; Smolyanitsky, V; Worley, S; Yoshida, T</t>
  </si>
  <si>
    <t>Kent, Elizabeth; Woodruff, Scott; Rayner, Nick; Arbetter, Todd; Folland, Chris; Koek, Frits; Parker, David; Reynolds, Richard; Saunders, Roger; Smolyanitsky, Vasily; Worley, Steven; Yoshida, Takashi</t>
  </si>
  <si>
    <t>Advances in the use of historical marine climate data</t>
  </si>
  <si>
    <t>Univ Southampton, Natl Oceanog Ctr, Southampton SO14 3ZH, Hants, England; NOAA, Earth Syst Res Lab, Boulder, CO 80303 USA; Hadley Ctr, Met Off, Exeter, Devon, England; Natl Snow &amp; Ice Data Ctr, Boulder, CO USA; Royal Netherlands Meteorol Inst, NL-3730 AE De Bilt, Netherlands; NOAA, Natl Climat Data Ctr, Asheville, NC USA; Arctic &amp; Antarctic Res Inst, St Petersburg 199226, Russia; Natl Ctr Atmospher Res, Boulder, CO 80307 USA; Japan Meteorol Agcy, Tokyo, Japan</t>
  </si>
  <si>
    <t>University of Southampton; NERC National Oceanography Centre; National Oceanic Atmospheric Admin (NOAA) - USA; Met Office - UK; Hadley Centre; Royal Netherlands Meteorological Institute; National Oceanic Atmospheric Admin (NOAA) - USA; National Center Atmospheric Research (NCAR) - USA; Arctic &amp; Antarctic Research Institute; National Center Atmospheric Research (NCAR) - USA; Japan Meteorological Agency</t>
  </si>
  <si>
    <t>Kent, E (corresponding author), Univ Southampton, Natl Oceanog Ctr, Waterfront Campus,European Way, Southampton SO14 3ZH, Hants, England.</t>
  </si>
  <si>
    <t>eck@noc.soton.ac.uk</t>
  </si>
  <si>
    <t>Kent, Elizabeth/C-1281-2011; Folland, Chris K/I-2524-2013; Smolyanitsky, Vasily/K-2464-2015</t>
  </si>
  <si>
    <t>Kent, Elizabeth/0000-0002-6209-4247; Folland, Chris K/0000-0002-3143-5918; Smolyanitsky, Vasily/0000-0002-8087-0393</t>
  </si>
  <si>
    <t>Natural Environment Research Council [soc010012] Funding Source: researchfish; NERC [soc010012] Funding Source: UKRI</t>
  </si>
  <si>
    <t>10.1175/BAMS-88-4-559</t>
  </si>
  <si>
    <t>163BP</t>
  </si>
  <si>
    <t>WOS:000246133800018</t>
  </si>
  <si>
    <t>van Polanen Petel, TD; Giese, MA; Wotherspoon, S; Hindell, MA</t>
  </si>
  <si>
    <t>van Polanen Petel, T. D.; Giese, M. A.; Wotherspoon, S.; Hindell, M. A.</t>
  </si>
  <si>
    <t>The behavioural response of lactating Weddell seals (Leptonychotes weddellii) to over-snow vehicles:: a case study</t>
  </si>
  <si>
    <t>CANADIAN JOURNAL OF ZOOLOGY</t>
  </si>
  <si>
    <t>FLIGHT INITIATION DISTANCE; MAN-MADE NOISE; MCMURDO-SOUND; PHOCA-HISPIDA; FUR SEALS; DISTURBANCE; VIGILANCE; HELICOPTERS; AGGRESSION; ANTARCTICA</t>
  </si>
  <si>
    <t>Over-snow vehicles are used extensively at Antarctic scientific research stations. Adult female Weddell seals (Leptonychotes weddellii (Lesson, 1826)) also utilise the fast-ice and are therefore often exposed to vehicular activity, with the potential of affecting their behaviour. Guidelines for vehicular travel have been developed to minimise disturbance to Antarctic wildlife; however, these guidelines have not yet been scientifically tested. To examine the efficiency and sensitivity of existing guidelines used within the Australian Antarctic Territory (AAT), we conducted drive-by experiments of two types of over-snow vehicles. The results of these experiments showed that the probability of a lactating Weddell seal looking at the vehicles and the duration of the seals' looking at the vehicles were dependent on the distance between vehicles and seals, the position of the pups in relation to its mother, and the distance the adult female was from the water. Although the seals apparently perceived the vehicles to be a threat, no seals fled in response to vehicle activity. We propose that the existing guidelines used in the AAT could be amended to increase separation distances between vehicles and breeding Weddell seals if the goal of management is to ensure that Weddell seal behaviour is unaffected by vehicle travel.</t>
  </si>
  <si>
    <t>Univ Tasmania, Sch Zool, Antarctic Wildlife Res Unit, Hobart, Tas 7001, Australia; Australian Antarctic Div, Human Impacts Res Program, Kingston, Tas 7050, Australia; Univ Tasmania, Sch Phys &amp; Mat, Hobart, Tas 7001, Australia</t>
  </si>
  <si>
    <t>van Polanen Petel, TD (corresponding author), Univ Tasmania, Sch Zool, Antarctic Wildlife Res Unit, GPO Box 252-05, Hobart, Tas 7001, Australia.</t>
  </si>
  <si>
    <t>tamara_vpp@yahoo.com.au</t>
  </si>
  <si>
    <t>Hindell, Mark A/C-8368-2013; Wotherspoon, Simon J/B-2390-2013; Hindell, Mark A/K-1131-2013</t>
  </si>
  <si>
    <t>Wotherspoon, Simon J/0000-0002-6947-4445; Hindell, Mark/0000-0002-7823-7185</t>
  </si>
  <si>
    <t>0008-4301</t>
  </si>
  <si>
    <t>1480-3283</t>
  </si>
  <si>
    <t>CAN J ZOOL</t>
  </si>
  <si>
    <t>Can. J. Zool.</t>
  </si>
  <si>
    <t>10.1139/Z07-029</t>
  </si>
  <si>
    <t>183WE</t>
  </si>
  <si>
    <t>WOS:000247602300006</t>
  </si>
  <si>
    <t>Malanga, G; Estevez, MS; Calvo, J; Abele, D; Puntarulo, S</t>
  </si>
  <si>
    <t>Malanga, Gabriela; Susana Estevez, Maria; Calvo, Jorge; Abele, Doris; Puntarulo, Susana</t>
  </si>
  <si>
    <t>The effect of seasonality on oxidative metabolism in Nacella (Patinigera) magellanica</t>
  </si>
  <si>
    <t>antioxidants; Beagle Channel; Nacella (P) magellanica; oxidative stress; seasonality</t>
  </si>
  <si>
    <t>ANTIOXIDANT DEFENSE SYSTEMS; FUNCTION OXYGENASE SYSTEM; LUGWORM ARENICOLA-MARINA; NITRIC-OXIDE; ANTARCTIC LIMPET; DIGESTIVE GLAND; ANAEROBIC METABOLISM; LIPID-PEROXIDATION; ASCORBIC-ACID; BASE-LINE</t>
  </si>
  <si>
    <t>We studied the seasonal variation on aerobic metabolism and the response of oxidative stress parameters in the digestive glands of the subpolar limpet Nacella (P.) rnagellanica. Sampling was carried out from July (winter) 2002 to July 2003 in Beagle Channel, Tierra del Fuego, Argentina. Whole animal respiration rates increased in early spring as the animals spawned and remained elevated throughout summer and fall (winter: 0.09 0.02pmol O-2 h(-1) g(-1); summer: 0.31 +/- 0.06 mu mol O-2 h(-1) g(-1)). Oxidative stress was assessed at the hydrophilic level as the ascorbyl radical content/ ascorbate content ratio (A(.)/AH(-)). The A(.)/AH(-) ratio showed minimum values in winter (3.7 +/- 0.2 10(-5) AU) and increased in summer (18 5 10(-5) SAU). A similar pattern was observed for lipid radical content (122 +/- 29 pmol mg(-1) fresh mass [FW] in winter and 314 +/- 45 pmol mg(-1) FW in summer), iron content (0.99 +/- 0.07 and 2.7 +/- 0.6 nmol mg(-1) FW in winter and summer, respectively) and catalase activity (2.9 +/- 0.2 and 7 +/- 1 U mg(-1) FW in winter and summer, respectively). Since nitrogen derived radicals are thought to be critically involved in oxidative metabolism in cells, nitric oxide content was measured and a significant difference in the content of the Fe-MGD-NO adduct in digestive glands from winter and summer animals was observed. Together, the: data indicate that both oxygen and nitrogen radical generation rates in N. (P.) magellanica are strongly dependent on season. (c) 2006 Elsevier Inc. All rights reserved.</t>
  </si>
  <si>
    <t>Univ Buenos Aires, Fac Farm &amp; Bioquim, Sch Pharm &amp; Biochem, Phys Chem PRALIB, RA-1113 Buenos Aires, DF, Argentina; Alfred Wegener Inst Polar &amp; Marine Res, D-2850 Bremerhaven, Germany</t>
  </si>
  <si>
    <t>University of Buenos Aires; Helmholtz Association; Alfred Wegener Institute, Helmholtz Centre for Polar &amp; Marine Research</t>
  </si>
  <si>
    <t>Puntarulo, S (corresponding author), Univ Buenos Aires, Fac Farm &amp; Bioquim, Sch Pharm &amp; Biochem, Phys Chem PRALIB, Junin 956, RA-1113 Buenos Aires, DF, Argentina.</t>
  </si>
  <si>
    <t>susanap@ffyb.uba.ar</t>
  </si>
  <si>
    <t>Abele, Doris/0000-0002-5766-5017</t>
  </si>
  <si>
    <t>10.1016/j.cbpa.2006.01.029</t>
  </si>
  <si>
    <t>157QO</t>
  </si>
  <si>
    <t>WOS:000245735500012</t>
  </si>
  <si>
    <t>Clark, M; Peck, L; Dupont, S; Thorndyke, M</t>
  </si>
  <si>
    <t>Clark, M.; Peck, L.; Dupont, S.; Thorndyke, M.</t>
  </si>
  <si>
    <t>Regeneration rates in the Antarctic Brittlestar:: Ophionotus victoriae</t>
  </si>
  <si>
    <t>Dupont, Sam T/F-5527-2013</t>
  </si>
  <si>
    <t>S212</t>
  </si>
  <si>
    <t>10.1016/j.cbpa.2007.01.531</t>
  </si>
  <si>
    <t>157VD</t>
  </si>
  <si>
    <t>WOS:000245748600403</t>
  </si>
  <si>
    <t>Clark, M; Fraser, K; Peck, L</t>
  </si>
  <si>
    <t>Clark, M.; Fraser, K.; Peck, L.</t>
  </si>
  <si>
    <t>The heat shock response in Antarctic marine organisms</t>
  </si>
  <si>
    <t>S207</t>
  </si>
  <si>
    <t>10.1016/j.cbpa.2007.01.461</t>
  </si>
  <si>
    <t>WOS:000245748600391</t>
  </si>
  <si>
    <t>Clark, M; Lubzens, E; Hadas, O; Sukenik, A; Cerda, J; Hohmann, S; Worland, R; Reinhardt, R; Nielsen, KF</t>
  </si>
  <si>
    <t>Clark, M.; Lubzens, E.; Hadas, O.; Sukenik, A.; Cerda, J.; Hohmann, S.; Worland, R.; Reinhardt, R.; Nielsen, K. Fog</t>
  </si>
  <si>
    <t>Revealing the secrets of dormancy and of survival during desiccation</t>
  </si>
  <si>
    <t>[Clark, M.; Worland, R.] British Antarctic Survey, Cambridge, England; [Lubzens, E.; Hadas, O.; Sukenik, A.] Israel Oceanog &amp; Limnol Res, Haifa, Israel; [Cerda, J.] IRTA, Barcelona, Spain; [Hohmann, S.] Gothenburg Univ, Gothenburg, Sweden; [Reinhardt, R.; Nielsen, K. Fog] MPI Mol Genet, Berlin, Germany; Danmarks Tekn Univ, Lyngby, Denmark</t>
  </si>
  <si>
    <t>UK Research &amp; Innovation (UKRI); Natural Environment Research Council (NERC); NERC British Antarctic Survey; Israel Oceanographic &amp; Limnological Research Institute; IRTA; University of Gothenburg; Technical University of Denmark</t>
  </si>
  <si>
    <t>Nielsen, Kristian Fog/C-7233-2011; Lubzens, Esther/KFE-8167-2024</t>
  </si>
  <si>
    <t>S154</t>
  </si>
  <si>
    <t>S155</t>
  </si>
  <si>
    <t>10.1016/j.cbpa.2007.01.316</t>
  </si>
  <si>
    <t>WOS:000245748600261</t>
  </si>
  <si>
    <t>Kiko, R; Werner, I; Schnack-Schiel, S; Lucassen, M</t>
  </si>
  <si>
    <t>Kiko, R.; Werner, I.; Schnack-Schiel, S.; Lucassen, M.</t>
  </si>
  <si>
    <t>Antarctic sea ice: Habitat characteristics, metazoan fauna, and adaptations to low temperature</t>
  </si>
  <si>
    <t>Inst Polarokol, Kiel, Germany</t>
  </si>
  <si>
    <t>Lucassen, Magnus/ABA-8396-2021; Lucassen, Magnus/E-8433-2011</t>
  </si>
  <si>
    <t>Lucassen, Magnus/0000-0003-4276-4781;</t>
  </si>
  <si>
    <t>S211</t>
  </si>
  <si>
    <t>10.1016/j.cbpa.2007.01.529</t>
  </si>
  <si>
    <t>WOS:000245748600401</t>
  </si>
  <si>
    <t>Antarctic sea ice: Habitat characteristics, metazoen fauna, and adaptations to low temperature</t>
  </si>
  <si>
    <t>Lucassen, Magnus/E-8433-2011; Lucassen, Magnus/ABA-8396-2021</t>
  </si>
  <si>
    <t>Lucassen, Magnus/0000-0003-4276-4781</t>
  </si>
  <si>
    <t>10.1016/j.cbpa.2007.01.314</t>
  </si>
  <si>
    <t>WOS:000245748600259</t>
  </si>
  <si>
    <t>Stewart, RR; Ball, IR; Possingham, HP</t>
  </si>
  <si>
    <t>Stewart, Romola R.; Ball, Ian R.; Possingham, Hugh P.</t>
  </si>
  <si>
    <t>The effect of incremental reserve design and changing reservation goals on the long-term effliciency of reserve systems</t>
  </si>
  <si>
    <t>CONSERVATION BIOLOGY</t>
  </si>
  <si>
    <t>conservation planning; conservation targets; efficiency; incremental reserve design; irreplaceability; marine biodiversity; marine reserves</t>
  </si>
  <si>
    <t>CONSERVATION TARGETS; BIODIVERSITY; AREAS</t>
  </si>
  <si>
    <t>Selecting reserve areas based on percentages, such as 10% or 12% of a bioregion, is common in conservation planning despite widespread admission that such percentages are arbitrary and likely to be inadequate for the conservation of all biodiversity Reserve systems based on these relatively low percentage targets are likely to require expansion in the future, resulting in the assembly of reserve systems over many years (incremental reserve design). How then will incremental reserve design, such as increasing percentage targets over time, affect the long-term efficiency of marine reserve systems? We used South Australia as a case study to investigate bow changing percentage targets affects the contribution of individual planning units to efficient reserve design, Selection frequency counts provided a measure of a planning unit's conservation value. For the majority of planning units, changing targets led to a change in their conservation value indicating, for example, that planning units identified as high-value sites at a low-percentage conservation target may be of lesser importance when targets are increased. Despite the variability in the value of individual planning units at different targets, there was no loss in efficiency from incremental design of reserve systems based on systematic methods compared with purpose-built reserve systems (i.e., the system is assembled in a single iteration). The exception was when incrementally designed systems were based on South Australia's existing marine reserve system-a system developed in an ad hoc method. The result was reserve systems that were less efficient, less compact, and larger in size. This suggests that systematic approaches have an important role for efficient reserve design when there is uncertainty about the target level of reservation.</t>
  </si>
  <si>
    <t>Univ Queensland, Ecol Ctr, St Lucia, Qld 4072, Australia; Australian Antarctic Div, Australian Marine Living Resources Grp, Kingston, Tas 7050, Australia</t>
  </si>
  <si>
    <t>University of Queensland; Australian Antarctic Division</t>
  </si>
  <si>
    <t>Stewart, RR (corresponding author), Univ Queensland, Ecol Ctr, St Lucia, Qld 4072, Australia.</t>
  </si>
  <si>
    <t>r.stewart@uq.edu.au</t>
  </si>
  <si>
    <t>POSSINGHAM, HUGH/R-8310-2019; Possingham, Hugh/B-1337-2008</t>
  </si>
  <si>
    <t>POSSINGHAM, HUGH/0000-0001-7755-996X; Possingham, Hugh/0000-0001-7755-996X; STEWART, Romola/0000-0002-4280-8951</t>
  </si>
  <si>
    <t>0888-8892</t>
  </si>
  <si>
    <t>1523-1739</t>
  </si>
  <si>
    <t>CONSERV BIOL</t>
  </si>
  <si>
    <t>Conserv. Biol.</t>
  </si>
  <si>
    <t>10.1111/j.1523-1739.2006.00618.x</t>
  </si>
  <si>
    <t>153LY</t>
  </si>
  <si>
    <t>WOS:000245438200011</t>
  </si>
  <si>
    <t>Lazutin, LL; Kozelova, TV; Meredith, NP; Danielides, M; Kozelov, BV; Jussila, J; Korth, A</t>
  </si>
  <si>
    <t>Lazutin, L. L.; Kozelova, T. V.; Meredith, N. P.; Danielides, M.; Kozelov, B. V.; Jussila, J.; Korth, A.</t>
  </si>
  <si>
    <t>Studies of substorm on March 12, 1991: 2. Auroral electrons. Acceleration, injection, and dynamics</t>
  </si>
  <si>
    <t>COSMIC RESEARCH</t>
  </si>
  <si>
    <t>ENERGETIC ELECTRONS; MAGNETOTAIL</t>
  </si>
  <si>
    <t>In the first part of this study of the substorm of March 12, 1991, the space-time structure of substrorm disturbance and dynamics of auroral ions were considered. This second part presents an analysis of measurements of auroral electrons onboard the CRRES satellite. It is demonstrated that enhancements of the electron flux (injections) during large-scale and local dipolarizations of the magnetic field are determined by a combination of field-aligned, induction, and betatron mechanisms of acceleration with an effect of displacement of the drift shells of particles. The relative contributions of these mechanisms in relation to the energy of auroral electrons are determined.</t>
  </si>
  <si>
    <t>Moscow MV Lomonosov State Univ, Skobeltsyn Inst Nucl Phys, Moscow 119992, Russia; Russian Acad Sci, Polar Geophys Inst, Kola Sci Ctr, Apatity 184200, Murmansk Oblast, Russia; British Antarctic Survey, Cambridge CB3 0ET, England; Oulu Univ, Oulu, Finland; Max Planck Inst, Lindau, Germany</t>
  </si>
  <si>
    <t>Lomonosov Moscow State University; Russian Academy of Sciences; Polar Geophysical Institute; Kola Science Centre of the Russian Academy of Sciences; UK Research &amp; Innovation (UKRI); Natural Environment Research Council (NERC); NERC British Antarctic Survey; University of Oulu; Max Planck Society</t>
  </si>
  <si>
    <t>Lazutin, LL (corresponding author), Moscow MV Lomonosov State Univ, Skobeltsyn Inst Nucl Phys, Moscow 119992, Russia.</t>
  </si>
  <si>
    <t>lll@srd.snip.msu.ru</t>
  </si>
  <si>
    <t>Kozelov, Boris/N-2731-2013; Meredith, Nigel P/C-5806-2018; Kozelova, Tamara/N-2760-2013</t>
  </si>
  <si>
    <t>Kozelov, Boris/0000-0003-2738-2443; Meredith, Nigel/0000-0001-5032-3463; Horne, Richard/0000-0002-0412-6407; Kozelova, Tamara/0000-0002-9942-7041</t>
  </si>
  <si>
    <t>0010-9525</t>
  </si>
  <si>
    <t>1608-3075</t>
  </si>
  <si>
    <t>COSMIC RES+</t>
  </si>
  <si>
    <t>Cosmic Res.</t>
  </si>
  <si>
    <t>10.1134/S0010952507020013</t>
  </si>
  <si>
    <t>Engineering, Aerospace; Astronomy &amp; Astrophysics</t>
  </si>
  <si>
    <t>Engineering; Astronomy &amp; Astrophysics</t>
  </si>
  <si>
    <t>166BL</t>
  </si>
  <si>
    <t>WOS:000246351900001</t>
  </si>
  <si>
    <t>Yusoff, K</t>
  </si>
  <si>
    <t>Yusoff, Kathryn</t>
  </si>
  <si>
    <t>Antarctic exposure: archives of the feeling body</t>
  </si>
  <si>
    <t>CULTURAL GEOGRAPHIES</t>
  </si>
  <si>
    <t>excess; exploration; landscape; photography; visual geography</t>
  </si>
  <si>
    <t>This article examines attempts to capture and form knowledge about the Antarctic landscape through expeditionary photography and embodied practice. It begins with a visual piece. As an antidote to contemporary investment in heroic Antarctic narratives, Action Man, Antarctic Inertia takes the original 1970s special issue Antarctic Action Man on another kind Of journey, restaging his adventures through the landscape. Concentrating on the excessive expenditure of explorers' accounts, as opposed to the heroic destinations of the original, this visual mapping considers nonproductive landscape encounters in order to explore other possibilities of staging history and geography. The written essay that forms the second part of this article concentrates on the anxieties of representation that emerge from the interplay between mark making and being marked, and the marks that fall beyond this Visual register. Using the metaphor of light, which includes both the light cast on a photographic plate and the dubious physical light of the Antarctic landscape, I examine how, this marker both constitutes a trace of history and a fleeting form of knowledge production. As a mode of representation, landscape photography simultaneously illuminates and obscures the histories of encounter with landscape. The argument proceeds by looking at how the photographic frame both arrests landscape and points to a Subtle beyond (Barthes). Using narratives from the Heroic era (1890s-1910s) expeditions, I then consider how landscape exposure collides with photographic exposure to present other inhabitations that are in excess of the photograph. in these other narratives, the landscape writes through the body to disrupt the heroic narrative of a contained and purposeful body in the landscape. This Antarctic 'look back' ultimately points the way to new geographies Of visual culture that expand understand ings of the Antarctic landscape. At the same time, by exceeding the visual, this approach provides the grounds for a renewed ethics of engagement with the ability of landscape to inscribe the explorer's body as lie inscribes the surface of the continent through embodied journeys and representational practice. In conclusion, I argue for a reciprocal dialogue between landscape and vision, one that acknowledges that vision is entangled with pain, blindness and excess as much as with a clear sighting of encounter.</t>
  </si>
  <si>
    <t>Open Univ, Fac Social Sci Fac, Geog Discipline, Milton Keynes MK7 6AA, Bucks, England</t>
  </si>
  <si>
    <t>Yusoff, K (corresponding author), Open Univ, Fac Social Sci Fac, Geog Discipline, Walton Hall, Milton Keynes MK7 6AA, Bucks, England.</t>
  </si>
  <si>
    <t>k.yusoff@open.ac.uk</t>
  </si>
  <si>
    <t>1474-4740</t>
  </si>
  <si>
    <t>CULT GEOGR</t>
  </si>
  <si>
    <t>Cult. Geogr.</t>
  </si>
  <si>
    <t>10.1177/1474474007075355</t>
  </si>
  <si>
    <t>Environmental Studies; Geography</t>
  </si>
  <si>
    <t>Environmental Sciences &amp; Ecology; Geography</t>
  </si>
  <si>
    <t>175RV</t>
  </si>
  <si>
    <t>WOS:000247032600003</t>
  </si>
  <si>
    <t>Collis, C; Stevens, Q</t>
  </si>
  <si>
    <t>Collis, Christy; Stevens, Quentin</t>
  </si>
  <si>
    <t>Cold colonies: Antarctic spatialities at mawson and McMurdo stations</t>
  </si>
  <si>
    <t>In 1954, a small team of Australian men landed at Horseshoe Harbor and began constructing Mawson Station: the permanent colonization of Antarctica was initiated. Two years later, Americans began the construction of their major Antarctic base, McMurdo. Although Antarctica is routinely represented as in empty wilderness, over the last 50 years tens of thousands Of humans have occupied the continent, most of them living in Antarctica's 40 national bases. What kinds of spaces are these Antarctican colonial settlernents How do they function materially, ideologically, legally and spatially? This article explores the anatomy of two of the oldest and most populous of these spaces, Mawson and McMurdo stations. It attends to their physical environments and to the geopolitical epistemologies that shape them. It is thus a study of two distinct Antarctican spjtialities. This article is part of a larger endeavour to account for the heterogeneous cultural geographies of the polar south. It works towards a definition of contemporary colonialism in its Antarctican context. In a previously-uninhabited continent governed by scientific internationalisin, yet subject to disputed territorial claims and conflicting geopolitical spaces, colonialism takes on specific localized forms. This article attends to the unique colonial spatialitiies of two key Antarctican settlements.</t>
  </si>
  <si>
    <t>Queensland Inst Technol, Creat Ind Fac, Kelvin Grove, Qld 4059, Australia; UCL, Bartlett Sch Planning, London WC1H 0QB, England</t>
  </si>
  <si>
    <t>Queensland University of Technology (QUT); University of London; University College London</t>
  </si>
  <si>
    <t>Collis, C (corresponding author), Queensland Inst Technol, Creat Ind Fac, Musk Ave, Kelvin Grove, Qld 4059, Australia.</t>
  </si>
  <si>
    <t>c.collis@qut.edu.au; q.stevens@ucl.ac.uk</t>
  </si>
  <si>
    <t>Collis, Christy/0000-0003-2951-8412; Stevens, Quentin/0000-0002-0912-0426</t>
  </si>
  <si>
    <t>10.1177/1474474007075356</t>
  </si>
  <si>
    <t>WOS:000247032600004</t>
  </si>
  <si>
    <t>Wang, ZL; Yamada, M</t>
  </si>
  <si>
    <t>Wang, Zhong-Liang; Yamada, Masatoshi</t>
  </si>
  <si>
    <t>Geochemistry of dissolved rare earth elements in the Equatorial Pacific Ocean</t>
  </si>
  <si>
    <t>ENVIRONMENTAL GEOLOGY</t>
  </si>
  <si>
    <t>rare earth elements; Equatorial Pacific Ocean; vertical profiles; water mass tracers</t>
  </si>
  <si>
    <t>MIDDLE ATLANTIC BIGHT; NORTH PACIFIC; WATER COLUMN; SEAWATER; NEODYMIUM; SEA; FRACTIONATION; HYDROGRAPHY; OXIDATION; PATTERNS</t>
  </si>
  <si>
    <t>Seawater samples were collected from four locations in the Equatorial Pacific Ocean during the MR02-K06 cruise of the R/V Mirai and analyzed for dissolved rare earth elements (REEs) using inductively coupled plasma mass spectrometry. According to variations of REE concentrations and Yb/La ratios, the results show that the river input of the Papua New Guinea islands may affect the compositions of REEs in the Equatorial Pacific surface water. The Yb/La values and the REE concentrations in the waters deeper than 3,000 m in the western South Pacific and the Equatorial Pacific Oceans, which represent the characteristics of Antarctic Bottom Water (AABW), demonstrate similar variation trend with depth. This result also indicates that the REEs which originated from the South Pacific Ocean have entered the North Pacific Ocean across the equator with AABW intrusion.</t>
  </si>
  <si>
    <t>Chinese Acad Sci, Inst Geochem, State Key Lab Environm Geochem, Guiyang 550002, Guizhou, Peoples R China; Natl Inst Radiol Sci, Nakaminato Lab Marine Radioecol, Hitachi, Ibaraki 3111202, Japan</t>
  </si>
  <si>
    <t>Chinese Academy of Sciences; Institute of Geochemistry, CAS; National Institutes for Quantum Science &amp; Technology</t>
  </si>
  <si>
    <t>Wang, ZL (corresponding author), Chinese Acad Sci, Inst Geochem, State Key Lab Environm Geochem, Guanshui Rd 46, Guiyang 550002, Guizhou, Peoples R China.</t>
  </si>
  <si>
    <t>wangzhongliang@vip.skleg.cn</t>
  </si>
  <si>
    <t>Yamada, Masatoshi/F-2023-2013</t>
  </si>
  <si>
    <t>0943-0105</t>
  </si>
  <si>
    <t>ENVIRON GEOL</t>
  </si>
  <si>
    <t>Environ. Geol.</t>
  </si>
  <si>
    <t>10.1007/s00254-006-0515-7</t>
  </si>
  <si>
    <t>Environmental Sciences; Geosciences, Multidisciplinary; Water Resources</t>
  </si>
  <si>
    <t>Environmental Sciences &amp; Ecology; Geology; Water Resources</t>
  </si>
  <si>
    <t>162NV</t>
  </si>
  <si>
    <t>WOS:000246095500018</t>
  </si>
  <si>
    <t>Hansen, JE</t>
  </si>
  <si>
    <t>Hansen, J. E.</t>
  </si>
  <si>
    <t>Scientific reticence and sea level rise</t>
  </si>
  <si>
    <t>ENVIRONMENTAL RESEARCH LETTERS</t>
  </si>
  <si>
    <t>sea level; global warming; glaciology; ice sheets</t>
  </si>
  <si>
    <t>ANTARCTIC ICE-SHEET; GREENHOUSE; CLIMATE; GREENLAND; PENINSULA; SHELF; COLLAPSE; SNOWFALL; GROWTH; OCEAN</t>
  </si>
  <si>
    <t>I suggest that a 'scientific reticence' is inhibiting the communication of a threat of a potentially large sea level rise. Delay is dangerous because of system inertias that could create a situation with future sea level changes out of our control. I argue for calling together a panel of scientific leaders to hear evidence and issue a prompt plain-written report on current understanding of the sea level change issue.</t>
  </si>
  <si>
    <t>NASA, Goddard Inst Space Studies, New York, NY 10025 USA</t>
  </si>
  <si>
    <t>National Aeronautics &amp; Space Administration (NASA); NASA Goddard Space Flight Center; Goddard Institute for Space Studies</t>
  </si>
  <si>
    <t>Hansen, JE (corresponding author), NASA, Goddard Inst Space Studies, 2880 Broadway, New York, NY 10025 USA.</t>
  </si>
  <si>
    <t>jhansen@giss.nasa.gov</t>
  </si>
  <si>
    <t>IOP Publishing Ltd</t>
  </si>
  <si>
    <t>1748-9326</t>
  </si>
  <si>
    <t>ENVIRON RES LETT</t>
  </si>
  <si>
    <t>Environ. Res. Lett.</t>
  </si>
  <si>
    <t>APR-JUN</t>
  </si>
  <si>
    <t>10.1088/1748-9326/2/2/024002</t>
  </si>
  <si>
    <t>269MJ</t>
  </si>
  <si>
    <t>WOS:000253652800002</t>
  </si>
  <si>
    <t>Worton, DR; Sturges, WT; Gohar, LK; Shine, KP; Martinerie, P; Oram, DE; Humphrey, SP; Begley, P; Gunn, L; Barnola, JM; Schwander, J; Mulvaney, R</t>
  </si>
  <si>
    <t>Worton, David R.; Sturges, William T.; Gohar, Laila K.; Shine, Keith P.; Martinerie, Patricia; Oram, David E.; Humphrey, Stephen P.; Begley, Paul; Gunn, Lara; Barnola, Jean-Marc; Schwander, Jakob; Mulvaney, Robert</t>
  </si>
  <si>
    <t>Atmospheric trends and radiative forcings of CF4 and C2F6 inferred from firn air</t>
  </si>
  <si>
    <t>GLOBAL WARMING POTENTIALS; POLAR FIRN; ICE; SF6; LIFETIMES; AGE</t>
  </si>
  <si>
    <t>The atmospheric histories of two potent greenhouse gases, tetrafluoromethane (CF4) and hexafluoroethane (C2F6), have been reconstructed for the 20th century based on firn air measurements from both hemispheres. The reconstructed atmospheric trends show that the mixing ratios of both CF4 and C2F6 have increased during the 20th century by factors of similar to 2 and similar to 10, respectively. Initially, the increasing mixing ratios coincided with the rise in primary aluminum production. However, a slower atmospheric growth rate for CF4 appears to be evident during the 1990s, which supports recent aluminum industry reports of reduced CF4 emissions. This work illustrates the changing relationship between CF4 and C2F6 that is likely to be largely the result of both reduced emissions from the aluminum industry and faster growing emissions of C2F6 from the semiconductor industry. Measurements of C2F6 in the older firn air indicate a natural background mixing ratio of &lt; 0.3 parts per trillion (ppt), demonstrating that natural sources of this gas are negligible. However, CF4 was deduced to have a preindustrial mixing ratio of 34 +/- 1 ppt (similar to 50% of contemporary levels). This is in good agreement with the previous work of Harnisch et al. (18) and provides independent confirmation of their results. As a result of the large global warming potentials of CF4 and C2F6, these results have important implications for radiative forcing calculations. The radiative forcings of CF4 and C2F6 are shown to have increased over the past 50 years to values in 2001 of 4.1 x 10(-3) Wm(-2) and 7.5 x 10(-4) Wm(-2), respectively, relative to preindustrial concentra tions. These forcings are small compared to present day forcings due to the major greenhouse gases but, if the current trends continue, they will continue to increase since both gases have essentially infinite lifetimes. There is, therefore, a large incentive to reduce perfluorocarbon emissions such that, through the implementation of the Kyoto Protocol, the atmospheric growth rates may decline in the future.</t>
  </si>
  <si>
    <t>Univ E Anglia, Sch Environm Sci, Norwich NR4 7TJ, Norfolk, England; Univ Reading, Dept Meteorol, Reading RG6 6BB, Berks, England; CNRS, Lab Glaciol &amp; Geophys Environm, F-38042 Grenoble, France; Univ Bern, Inst Phys, CH-3012 Bern, Switzerland; British Antarctic Survey, NERC, Cambridge CB3 0ET, England</t>
  </si>
  <si>
    <t>University of East Anglia; University of Reading; Communaute Universite Grenoble Alpes; Universite Grenoble Alpes (UGA); Centre National de la Recherche Scientifique (CNRS); University of Bern; UK Research &amp; Innovation (UKRI); Natural Environment Research Council (NERC); NERC British Antarctic Survey</t>
  </si>
  <si>
    <t>Worton, DR (corresponding author), Univ Calif Berkeley, Div Ecosyst Sci, Berkeley, CA 94720 USA.</t>
  </si>
  <si>
    <t>dworton@nature.berkeley.edu</t>
  </si>
  <si>
    <t>Martinerie, Patricia/N-5731-2017; Worton, David/A-8374-2012; Mulvaney, Robert/K-3929-2012; Shine, Keith/D-9093-2012</t>
  </si>
  <si>
    <t>Martinerie, Patricia/0000-0002-6820-2296; Worton, David/0000-0002-6558-5586; Begley, Paul/0000-0001-7001-2486; Mulvaney, Robert/0000-0002-5372-8148; Shine, Keith/0000-0003-2672-9978</t>
  </si>
  <si>
    <t>Natural Environment Research Council [ncas10006, bas010016] Funding Source: researchfish; NERC [ncas10006, bas010016] Funding Source: UKRI</t>
  </si>
  <si>
    <t>10.1021/es061710t</t>
  </si>
  <si>
    <t>150ZU</t>
  </si>
  <si>
    <t>WOS:000245258900024</t>
  </si>
  <si>
    <t>Laglera, LM; Van den Berg, CMG</t>
  </si>
  <si>
    <t>Laglera, Luis M.; Van den Berg, Constant M. G.</t>
  </si>
  <si>
    <t>Wavelength dependence of the photochemical reduction of iron in Arctic seawater</t>
  </si>
  <si>
    <t>CATHODIC STRIPPING VOLTAMMETRY; NATURAL ORGANIC-MATTER; SOUTHERN-OCEAN; CHEMILUMINESCENCE DETECTION; PHYTOPLANKTON BLOOM; EQUATORIAL PACIFIC; COMPLEXING LIGANDS; OXIDATION-KINETICS; ANTARCTIC WATERS; FE(II) OXIDATION</t>
  </si>
  <si>
    <t>Chemiluminescence measurements of the photochemical reduction of iron in cold, high-latitude waters (79 degrees N) show that a significant fraction (20%) of the dissolved iron is reduced when exposed to sunlight. The reduction is immediately initiated and the transition to a steady-state concentration of similar to 200 pM photochemical Fe(II) is achieved within similar to 40 s. The photochemical Fe(II) is reoxidized to Fe(III) in less than a minute upon blocking the sunlight, much faster than expected, which is ascribed to reaction with photochemically produced oxidants. Using filters to block different ranges of the incident sunlight it was found that 35% of the photochemical Fe(II) was produced in the UV-B range (300-315 nm), 30% in the range 315-360 nm, and 30% at higher wavelengths. Measurements of light attenuation as a function of depth indicate that photochemical Fe(II) at a depth of 5 m in high-latitude waters should amount to similar to 10% of that at the surface. The fast kinetics modulate the paramount importance that photochemical reactions may have on the bioavailability of iron in surface waters.</t>
  </si>
  <si>
    <t>Univ Liverpool, Dept Earth &amp; Ocean Sci, Liverpool L69 3GP, Merseyside, England</t>
  </si>
  <si>
    <t>University of Liverpool</t>
  </si>
  <si>
    <t>Van den Berg, CMG (corresponding author), Univ Liverpool, Dept Earth &amp; Ocean Sci, Liverpool L69 3GP, Merseyside, England.</t>
  </si>
  <si>
    <t>Vandenberg@liv.ac.uk</t>
  </si>
  <si>
    <t>Laglera, Luis/B-7983-2010; van den Berg, Constant/A-7065-2012</t>
  </si>
  <si>
    <t>Laglera, Luis/0000-0002-5941-5900; van den Berg, Constant/0000-0003-2234-9345</t>
  </si>
  <si>
    <t>Natural Environment Research Council [NE/B000176/1] Funding Source: researchfish</t>
  </si>
  <si>
    <t>10.1021/es061994h</t>
  </si>
  <si>
    <t>WOS:000245258900041</t>
  </si>
  <si>
    <t>McIntyre, CP; Harvey, PM; Ferguson, SH; Wressnig, AM; Volk, H; George, SC; Snape, I</t>
  </si>
  <si>
    <t>McIntyre, Cameron P.; Harvey, Paul McA.; Ferguson, Susan H.; Wressnig, Anna M.; Volk, Herbert; George, Simon C.; Snape, Ian</t>
  </si>
  <si>
    <t>Determining the extent of biodegradation of fuels using the diastereomers of acyclic isoprenoids</t>
  </si>
  <si>
    <t>CRUDE OILS; CHROMATOGRAPHIC-SEPARATION; IDENTIFICATION; PETROLEUM; PRISTANE; GC; GEOCHEMISTRY; TEMPERATURE; DEGRADATION; EVAPORATION</t>
  </si>
  <si>
    <t>Improved testing and remediation procedures for sites contaminated with petroleum hydrocarbons are a priority in remote cold regions such as Antarctica, where costs are higher and remediation times are longer. Isoprenoid/n-alkane ratios are commonly used to determine the extent of biodegradation at low levels but are not useful once the n-alkanes have been removed. This study demonstrates how the diastereomers of the acyclic isoprenoids can be used to determine the extent of biodegradation in moderately biodegraded fuel in soils from a bioremediation trial at Casey Station, Antarctica. The biological diaster eomers of pristane (meso; RS = SR) are depleted more rapidly during moderate biodegradation than the geological or mature diastereomers (RR and SS), and thus, the ratio of pristane diastereomers can determine the level of biodegradation. The statistical difference among mean diastereomer ratios for samples grouped according to the biodegradation scale and pristane/phytane ratios was highly significant. The ratios of norpristane and phytane diastereomers also change with biodegradation in a similar fashion, and different levels of sensitivity exist for each. Additional benefits are that the method can be performed on conventional gas chromatographs by non-specialist chemists and that the ratios are independent of evaporation and do not necessarily require a non-biodegraded reference (T-0) sample. This study details a simple alternative method for determining the extent of biodegradation of fuels at moderate levels that can be applied to a wide range of petroleum products.</t>
  </si>
  <si>
    <t>CSIRO Petr, N Ryde, NSW 1670, Australia; Univ Western Sydney, Coll Hlth &amp; Sci, Penrith, NSW 1797, Australia; Australian Antarctic Div, Kingston, Tas 7050, Australia; Univ Technol Sydney, Inst Water &amp; Environm Resource Management, Dept Environm Sci, Sydney, NSW 2007, Australia; Macquarie Univ, Australian Ctr Astrobiol, N Ryde, NSW 2109, Australia</t>
  </si>
  <si>
    <t>Commonwealth Scientific &amp; Industrial Research Organisation (CSIRO); Western Sydney University; Australian Antarctic Division; University of Technology Sydney; Macquarie University</t>
  </si>
  <si>
    <t>McIntyre, CP (corresponding author), CSIRO Petr, POB 136, N Ryde, NSW 1670, Australia.</t>
  </si>
  <si>
    <t>cpm@cpmcintyre.com</t>
  </si>
  <si>
    <t>McIntyre, Cameron P/D-1222-2016; Volk, Herbert/AIA-7505-2022; George, Simon Christopher/G-7134-2015</t>
  </si>
  <si>
    <t>McIntyre, Cameron P/0000-0001-8517-9836; Volk, Herbert/0000-0002-8620-018X; George, Simon Christopher/0000-0001-6534-3846</t>
  </si>
  <si>
    <t>10.1021/es0621288</t>
  </si>
  <si>
    <t>WOS:000245258900063</t>
  </si>
  <si>
    <t>Kurihara, R; Rajendran, RB; Tao, H; Yamamoto, I; Hashimoto, S</t>
  </si>
  <si>
    <t>Kurihara, Ryo; Rajendran, Ramaswamy Babu; Tao, Hiroaki; Yamamoto, Itsuaki; Hashimoto, Shinya</t>
  </si>
  <si>
    <t>Analysis of organotins in seawater of the Southern Ocean and Suruga Bay, Japan, by gas chromatography/inductively coupled plasma mass spectrometry</t>
  </si>
  <si>
    <t>organotin; Southern Ocean; seawater; marine pollution; gas chromatography/inductively coupled plasma mass spectrometry</t>
  </si>
  <si>
    <t>SERUM VITELLOGENIN LEVELS; BUTYLTIN COMPOUNDS; TRIPHENYLTIN CHLORIDE; NORTH PACIFIC; TOKYO BAY; TRIBUTYLTIN; ENVIRONMENT; SEDIMENTS; TOXICITY; RESIDUES</t>
  </si>
  <si>
    <t>Organotins are widespread in the world's oceans and have a detrimental effect on organisms. However, there is little information on their distribution in the Southern hemisphere. We analyzed organotins in seawater from the Southern Ocean and Suruga Bay, Japan, using gas chromatography/inductively coupled plasma mass spectrometry. Organotins were compared in two contrasting environments-one in shallow, temperate coastal waters (Suruga Bay) and the other in cold, deep waters of the far Southern Ocean. Twelve kinds of organotins were detected from Suruga Bay, with tributyltin (0.184-13.6 ng Sn/L) and total organotins (0.801-19.7 ng Sn/L). In contrast, three kinds of organotins were detected in the Southern Ocean, with total organotins (from not detected to 0.266 ng Sn/L). The ratios of degraded products of tributyltin and triphenyltin from the Southern Ocean were higher than those in Suruga Bay, suggesting that fresh input of organotins into the Southern Ocean is relatively low. The presence of butyltins in Antarctic sediments and biota has been demonstrated previously; however, the present study is the first to describe trace levels of organotins in the Southern Ocean approximately 1,000 km from Antarctica.</t>
  </si>
  <si>
    <t>Univ Shizuoka, Inst Environm Sci, Suruga Ku, Shizuoka 4228526, Japan; Natl Inst Adv Ind Sci &amp; Technol, Tsukuba, Ibaraki 3058569, Japan; IDEA Consultants, Shizuoka 4210212, Japan</t>
  </si>
  <si>
    <t>University of Shizuoka; National Institute of Advanced Industrial Science &amp; Technology (AIST)</t>
  </si>
  <si>
    <t>Hashimoto, S (corresponding author), Univ Shizuoka, Inst Environm Sci, Suruga Ku, 52-1 Yada, Shizuoka 4228526, Japan.</t>
  </si>
  <si>
    <t>hashimos@u-shizuoka-ken.ac.jp</t>
  </si>
  <si>
    <t>Tao, Hiroaki/Q-3400-2018; Ramaswamy, Babu Rajendran/AAP-3875-2020</t>
  </si>
  <si>
    <t>Tao, Hiroaki/0000-0003-3536-5088;</t>
  </si>
  <si>
    <t>SOCIETY ENVIRONMENTAL TOXICOLOGY &amp; CHEMISTRY-SETAC</t>
  </si>
  <si>
    <t>PENSACOLA</t>
  </si>
  <si>
    <t>1010 NORTH 12TH AVE, PENSACOLA, FL 32501-3367 USA</t>
  </si>
  <si>
    <t>10.1897/06-436R.1</t>
  </si>
  <si>
    <t>146MJ</t>
  </si>
  <si>
    <t>WOS:000244938200009</t>
  </si>
  <si>
    <t>Francis, M</t>
  </si>
  <si>
    <t>Francis, Martin</t>
  </si>
  <si>
    <t>A Flight from Commitment? Domesticity, Adventure and the Masculine Imaginary in Britain after the Second World War</t>
  </si>
  <si>
    <t>GENDER AND HISTORY</t>
  </si>
  <si>
    <t>The late 1940s and 1950s have often been represented as the apex of domesticity and the companionate marriage in modern Britain. This article, however, argues for the existence of a post-war male restlessness and a yearning for the all-male camaraderie of service life. The primary text through which an imagined masculine anti-domesticity will be investigated is the 1948 historical epic Scott of the Antarctic, a cinematic narrative which lends itself to discussion of another possible post-war 'flight from commitment' - the relinquishment of Britain's imperial possessions. The essay seeks to problematise the histories of both masculinity and domesticity, and to highlight the possibility of recovering male sensibilities with regard to marriage and family from what might initially appear to be the most unpromising of texts and the least obvious of contexts.</t>
  </si>
  <si>
    <t>[Francis, Martin] Univ Cincinnati, Modern Hist, Cincinnati, OH 45220 USA</t>
  </si>
  <si>
    <t>University System of Ohio; University of Cincinnati</t>
  </si>
  <si>
    <t>Francis, M (corresponding author), Univ Cincinnati, Modern Hist, Cincinnati, OH 45220 USA.</t>
  </si>
  <si>
    <t>0953-5233</t>
  </si>
  <si>
    <t>1468-0424</t>
  </si>
  <si>
    <t>GEND HIST</t>
  </si>
  <si>
    <t>Gend. Hist.</t>
  </si>
  <si>
    <t>10.1111/j.1468-0424.2007.00469.x</t>
  </si>
  <si>
    <t>History; Women's Studies</t>
  </si>
  <si>
    <t>V63ZZ</t>
  </si>
  <si>
    <t>WOS:000211072600009</t>
  </si>
  <si>
    <t>Ballent, SC; Whatley, R</t>
  </si>
  <si>
    <t>Ballent, Sara C.; Whatley, Robin</t>
  </si>
  <si>
    <t>The distribution of the gondwanine ostracod Rostrocytheridea Dingle:: palaeozoogeographical implications</t>
  </si>
  <si>
    <t>GEOLOGICAL JOURNAL</t>
  </si>
  <si>
    <t>12th Conference on Geological and Biological Heritage of Gondwana</t>
  </si>
  <si>
    <t>NOV 06-11, 2005</t>
  </si>
  <si>
    <t>Mendoza, ARGENTINA</t>
  </si>
  <si>
    <t>Rostrocytheridea; Ostracoda; systematics; palaeozoogeography; Upper Jurassic-Cretaceons; Argentina</t>
  </si>
  <si>
    <t>NORTHEASTERN BRAZIL; NEUQUEN BASIN; ARGENTINA; MAJUNGAELLA; TERTIARY; POTIGUAR; PROVINCE; GREKOFF</t>
  </si>
  <si>
    <t>The genus Rostrocytheridea is strictly gondwanine in its distribution and, in Argentina, is shown to be restricted to Patagonia. Of the six recorded Argentinian species, five are restricted to the southern part of South America: Rostrocytheridea opisthorhynchus nov. sp. (late Tithonian-Berriasian), Rostrocytheridea sp. (Valanginian), Rostrocytheridea cerasmoderma nov. sp., Rostrocytheridea covuncoensis Musacchio (Hauterivian) and Rostrocytheridea? sp. (Campanian). One species, Rostrocytheridea ornata Brenner and Oertli, is of much wider distribution, occurring in the Neocomian of South Africa and the Hauterivian of central-west Argentina. In Australia, the genus first appears in the Albian-Cenomanian and ranges up to the Santonian with two species: Rostrocytheridea canaliculata Bate and Rostrocytheridea westraliensis (Chapman). The youngest record of the genus is R. hamiltonensis Fauth and Seeling from the Middle to Upper Campanian of the James Ross Basin, Antarctic Peninsula. The implications for intercontinental correlation and the reconstruction of palaeo-migration routes are considered. Copyright (c) 2007 John Wiley &amp; Sons, Ltd.</t>
  </si>
  <si>
    <t>Musea Ciencias Nat La Plata, Dept Paleontol Invertebrados, RA-1900 La Plata, Argentina; Univ Wales, Dept Geol, Micropalaeontol Res Grp, Aberystwyth, Dyfed, Wales</t>
  </si>
  <si>
    <t>Ballent, SC (corresponding author), Musea Ciencias Nat La Plata, Dept Paleontol Invertebrados, Paseo Bosque S-N, RA-1900 La Plata, Argentina.</t>
  </si>
  <si>
    <t>sballent@fcnym.unlp.edu.ar</t>
  </si>
  <si>
    <t>JOHN WILEY &amp; SONS LTD</t>
  </si>
  <si>
    <t>CHICHESTER</t>
  </si>
  <si>
    <t>THE ATRIUM, SOUTHERN GATE, CHICHESTER PO19 8SQ, W SUSSEX, ENGLAND</t>
  </si>
  <si>
    <t>0072-1050</t>
  </si>
  <si>
    <t>GEOL J</t>
  </si>
  <si>
    <t>Geol. J.</t>
  </si>
  <si>
    <t>10.1002/gj.1067</t>
  </si>
  <si>
    <t>163MP</t>
  </si>
  <si>
    <t>WOS:000246164300002</t>
  </si>
  <si>
    <t>Lazo, DG</t>
  </si>
  <si>
    <t>Lazo, Dario G.</t>
  </si>
  <si>
    <t>Early Cretaceous bivalves of the Neuquen Basin, west-central Argentina: notes on taxonomy, palaeobiogeography and palaeoecology</t>
  </si>
  <si>
    <t>12th Gondwana Conference</t>
  </si>
  <si>
    <t>bivalvia; Valanginian-Hauterivian; taxonomy; palaeobiogeography; guild-structure; Argentina</t>
  </si>
  <si>
    <t>AGRIO FORMATION; ANTARCTIC PENINSULA; TRIGONIOIDA; MORPHOLOGY; MEMBER</t>
  </si>
  <si>
    <t>This paper provides an updated taxonomic inventory of the bivalve fauna collected in the Pilmatue Member of the Agrio Formation of the Neuquen Basin, west-central Argentina, places the fauna in its palaeobiogeographic setting, and addresses its palaeoecological significance. Thirty-one Late Valanginian to Early Hauterivian bivalve species within 24 genera were identified. A large part (32%) of the identified bivalve species occur over a wide geographical area: from the Pacific coast of South America to Europe, North Africa, Central Asia and East and South Africa; some are also recorded in Japan. A relatively high degree of endemism (26%) is shown, suggesting that some of the bivalve species had barriers to their dispersal; larval strategy and length of larval development were probably important. A significant number (42%) of the bivalve taxa are left in open nomenclature as they are probably new species. Bivalve guilds are described to interpret palaeoecology, in particular the ecospace utilization. Guilds are based on tiering, life habit, and feeding category. Eight guilds are recognized: free-lying epifaunal, cemented epifaunal, epibyssate, boring, endobyssate, shallow burrowing, deep burrowing and deep burrowing with symbiotic bacteria. The fauna is composed only of suspension-feeders indicating that food resources were dominantly in suspension, in agreement with the predominantly shallow-water aspect of the study deposits. The ecospace utilization in the shoreface is broader than in the offshore shelf, suggesting more favourable living conditions and/or a wider range of different habitat types represented. Copyright (c) 2007 John Wiley &amp; Sons, Ltd.</t>
  </si>
  <si>
    <t>Univ Buenos Aires, Fac Ciencias Exactas &amp; Nat, Dept Ciencias Geol, CONICET, RA-1428 Buenos Aires, DF, Argentina</t>
  </si>
  <si>
    <t>Consejo Nacional de Investigaciones Cientificas y Tecnicas (CONICET); University of Buenos Aires</t>
  </si>
  <si>
    <t>Lazo, DG (corresponding author), Univ Buenos Aires, Fac Ciencias Exactas &amp; Nat, Dept Ciencias Geol, CONICET, Pabellon 2,Ciudad Univ, RA-1428 Buenos Aires, DF, Argentina.</t>
  </si>
  <si>
    <t>dlazo@gl.fcen.uba.ar</t>
  </si>
  <si>
    <t>Lazo, Dario G./AAT-9498-2021</t>
  </si>
  <si>
    <t>Lazo, Dario G./0000-0002-8270-1577</t>
  </si>
  <si>
    <t>1099-1034</t>
  </si>
  <si>
    <t>10.1002/gj.1080</t>
  </si>
  <si>
    <t>WOS:000246164300003</t>
  </si>
  <si>
    <t>Aguirre-Urreta, MB; Mourgues, FA; Rawson, PF; Bulot, LG; Jaillard, E</t>
  </si>
  <si>
    <t>Aguirre-Urreta, M. Beatriz; Mourgues, F. Amaro; Rawson, Peter F.; Bulot, Luc G.; Jaillard, Etienne</t>
  </si>
  <si>
    <t>The Lower Cretaceous Chanarcillo and Neuquen Andean basins: ammonoid biostratigraphy and correlations</t>
  </si>
  <si>
    <t>Chanarcillo Basin; Neuquen Basin; South America; Lower Cretaceous; ammonites; biostratigraphy; correlations</t>
  </si>
  <si>
    <t>AMMONITES; ARGENTINA</t>
  </si>
  <si>
    <t>The Chanarcillo and Neuquen basins of the Central Andes shared a common geological history in the earlier part of the Early Cretaceous but from Barremian times onward their evolution began to diverge, probably due to an increasing activity of an intervening volcanic arc. The Berriasian to Lower Barremian sequences were mainly marine and include rich ammonoid faunas, with many taxa in common to both the basins. They include both Andean and near-pandemic forms, the latter providing some good correlation levels with the 'standard' Mediterranean sequence. Marine conditions persisted in the Chanarcillo Basin till Early Albian times; the associated ammonoid faunas include pandemic, Pacific and Antarctic genera. In contrast, in the Neuquen Basin evaporites and continental clastics of the Huitrin Formation mark the beginning of a long disconnection with the Pacific Ocean, though a short-lived marine incursion is represented by the carbonates of La Tosca Member of the Huitrin Formation. The ammonoid faunas of the two basins are compared here, and a detailed biostratigraphic division of the sequences is discussed and compared with the Mediterranean succession. Copyright (c) 2007 John Wiley &amp; Sons, Ltd.</t>
  </si>
  <si>
    <t>Univ Buenos Aires, Fac Ciencias Exactas &amp; Nat, Lab Bioestratig Alta Resoluc, RA-1428 Buenos Aires, DF, Argentina; Serv Nacl Geol &amp; Mineria, Santiago, Chile; Observ Midi Pyrenees, IRD LMTG, F-31400 Toulouse, France; UCL, Dept Earth Sci, London WC1E 6BT, England; Univ Aix Marseille 1, Ctr Sedimentol Paleontol, FRE CNRS 2761, F-13331 Marseille, France; IRD LGCA, F-38041 Grenoble 9, France</t>
  </si>
  <si>
    <t>University of Buenos Aires; Universite de Toulouse; Universite Toulouse III - Paul Sabatier; Centre National de la Recherche Scientifique (CNRS); Institut de Recherche pour le Developpement (IRD); University of London; University College London; Aix-Marseille Universite; Institut de Recherche pour le Developpement (IRD)</t>
  </si>
  <si>
    <t>Aguirre-Urreta, MB (corresponding author), Univ Buenos Aires, Fac Ciencias Exactas &amp; Nat, Lab Bioestratig Alta Resoluc, Ciudad Univ Pabellon 2, RA-1428 Buenos Aires, DF, Argentina.</t>
  </si>
  <si>
    <t>aguirre@gl.fcen.uba.ar</t>
  </si>
  <si>
    <t>Bulot, Luc/M-7815-2019</t>
  </si>
  <si>
    <t>Bulot, Luc/0000-0002-2817-9327</t>
  </si>
  <si>
    <t>10.1002/gj.1068</t>
  </si>
  <si>
    <t>WOS:000246164300004</t>
  </si>
  <si>
    <t>Gasparini, Z; Salgado, L; Parras, A</t>
  </si>
  <si>
    <t>Gasparini, Z.; Salgado, L.; Parras, A.</t>
  </si>
  <si>
    <t>Late Cretaceous plesiosaurs from northern Patagonia, Argentina</t>
  </si>
  <si>
    <t>plesiosauria; Late Cretaceous; Patagonia</t>
  </si>
  <si>
    <t>ELASMOSAURID PLESIOSAUR; MARINE REPTILES</t>
  </si>
  <si>
    <t>During the Late Campanian-Danian interval the South Atlantic Ocean invaded a large part of Patagonia in different events making an archipelago. Plesiosaurs from northern Patagonia of Late Campanian-Early Maastrichtian age were found in the Allen Formation. The sedimentology and faunal content, mainly at the Pellegrini Lake, suggest marginal marine environments, such as coastal plains, lagoons or estuaries. Toward the end of the Maastrichtian a new relative sea-level rise occurred, and the plesiosaurs are recorded in sediments of deeper marine environments of inner or middle platform. As pelagic reptiles, plesiosaurs had the potential capacity of worldwide distribution. Polycotylids and elasmosaurids have been found in northern Patagonia. There are at least two morphotypes (here determined as Elasmosauridae gen. et sp. indet. and Plesiosauroidea gen. et sp. indet.) which are also recorded in the south of the Eastern Pacific (Chile). Another plesiosaur found in central Patagonia, Aristonectes, with controversial phylogenetic relationships, suggests that some of them inhabited southwestern Gondwana (Argentina, Chile and the Antarctic Peninsula). Whether any of these taxa of northwestern Patagonia reached a south gondwanan distribution, is still controversial. However, at least in New Zealand there are plesiosaurs with similar characteristics, particularly in the limbs, to those found in plesiosaurs from Patagonia and Chile; hence, this hypothesis should not be discarded. Evidences of south Gondwanan distribution in other pelagic reptiles such as mosasaurs have been reported. Copyright (c) 2007 John Wiley &amp; Sons, Ltd.</t>
  </si>
  <si>
    <t>Consejo Nacl Invest Cient &amp; Tecn, Dept Paleontol Vertebrados, Museo La Plata, La Plata, Argentina; Univ Nacl Comahue, CONICET, RA-1400 Neuquen, Argentina; Univ Nacl La Pampa, CONICET, La Pampa, Argentina</t>
  </si>
  <si>
    <t>Universidad Nacional del Comahue</t>
  </si>
  <si>
    <t>Gasparini, Z (corresponding author), Consejo Nacl Invest Cient &amp; Tecn, Dept Paleontol Vertebrados, Museo La Plata, Paseo Bosque S-N, La Plata, Argentina.</t>
  </si>
  <si>
    <t>zgaspari@museo.fcnym.unlp.edu.ar</t>
  </si>
  <si>
    <t>10.1002/gj.1079</t>
  </si>
  <si>
    <t>WOS:000246164300006</t>
  </si>
  <si>
    <t>Martin, JE; Fernández, M</t>
  </si>
  <si>
    <t>Martin, James E.; Fernandez, Marta</t>
  </si>
  <si>
    <t>The synonymy of the Late Cretaceous mosasaur (Squamata) genus Lakumasaurus from Antarctica with Taniwhasaurus from New Zealand and its bearing upon faunal similarity within the Weddellian Province</t>
  </si>
  <si>
    <t>synonymy; mosasaur; Late Cretaceous; New Zealand; Antarctica; endemism</t>
  </si>
  <si>
    <t>NORTH-ISLAND; REPTILIA; SP.</t>
  </si>
  <si>
    <t>Novas et al. (2002. Ameghiniana 39:245-249) described and named a new mosasaur as Laktanasaurus antarcticus from the Late Cretaceous marine deposits of the Antarctic Peninsula. The specimen was recovered from the late Campanian Santa Marta Formation on James Ross Island. A number of characters indicate the affinities of Lakumasaurus with the Tylosaurinae. However, other characters of Lakymasaurus are unusual among tylosaurines, particularly the dentition bearing fine striae, teeth with non-serrated anterior carinae, anterior teeth without posterior carinae, relatively straight lateral margins on frontal and relatively small size. Investigation of mosasaurs from New Zealand confirms that these characters occur in the type specimen of Taniwhasaurus oweni Hector 1874, collected from the late Campanian Conway Formation of Haumuri Bluff. Size and similar morphological characters indicate the synonymy of Lakumasaurus with Taniwhasaurus. The synonymy of Laktunasaurus with Taniwhasaurus adds significantly to the evidence of endemism among marine reptiles in Antarctica, New Zealand and Patagonia (Weddellian Province) during the Late Cretaceous. Taniwhasaurus along with the possible co-occurrence of Moanasaurus are the first mosasaurs at a generic level to indicate Gondwanan endemism. The mosasaur evidence is complemented by the plesiosaur Aristonectes, which occurs in the Maastrichfian of Argentina and Antarctica and appears similar to Kaiwhekea from the Maastrichtian of New Zealand, and by Mauisaurus, an elasmosaurid which occurs in the Maastrichfian of Antarctica and medial Campanian-Maastrichtian of New Zealand. Copyright (c) 2007 John Wiley &amp; Sons, Ltd.</t>
  </si>
  <si>
    <t>SD Sch Mines &amp; Technol, Dept Geol, Museum Geol, Rapid City, SD 57701 USA; Museo La Plata, Dept Paleontol Vertebrados, La Plata, Argentina</t>
  </si>
  <si>
    <t>South Dakota School Mines &amp; Technology; National University of La Plata; Museo La Plata</t>
  </si>
  <si>
    <t>Martin, JE (corresponding author), SD Sch Mines &amp; Technol, Dept Geol, Museum Geol, Rapid City, SD 57701 USA.</t>
  </si>
  <si>
    <t>James.Martin@sdsmt.edu</t>
  </si>
  <si>
    <t>Fernandez, Marta/0000-0001-6935-7575</t>
  </si>
  <si>
    <t>10.1002/gj.1066</t>
  </si>
  <si>
    <t>WOS:000246164300007</t>
  </si>
  <si>
    <t>Chugunova, OM; Pilipenko, VA; Engebretson, M; Rodger, A</t>
  </si>
  <si>
    <t>Chugunova, O. M.; Pilipenko, V. A.; Engebretson, M.; Rodger, A.</t>
  </si>
  <si>
    <t>Statistical relations between the probability of occurrence of Pc3-4 pulsations at high latitudes in the Antarctic regions and the solar wind and IMF parameters</t>
  </si>
  <si>
    <t>MAGNETIC PULSATIONS; CUSP LATITUDES; DEPENDENCE</t>
  </si>
  <si>
    <t>Geomagnetic pulsation in the Pc3-4 bands have been studied at high Antarctic latitudes during the local summer. The statistical relation between the occurrence probability of Pc3 and Pc4 pulsations and the solar wind (SW) and IMF parameters has been revealed by verifying the hypothesis that an indication is identical in two distributions. Different dependences of the occurrence probability of high-latitude Pc3 and Pc4 pulsations on the IMF value and orientation and SW density and velocity have been found out. It has been indicated that these dependences remain unchanged in the range of geomagnetic latitudes from 66 degrees to 87 degrees. It has been established that the Pc3 observation probability at small (20 degrees-50 degrees) IMF cone angles (theta = cos(-1)(B-x/vertical bar B vertical bar)) is a factor of 1.5 higher than the average statistical probability and depends on the IMF value, which confirms the hypothesis that the Pc3 source is the turbulent region upstream of the magnetospheric quasiparallel low shock. On the contrary, the probability of occurrence of Pc4 weakly depends on the IMF cone angle and is maximal at theta similar to 0 degrees and similar to 90 degrees. With increasing negative B-z values, the generation probability increases in the Pc4 band and tends to decrease in the Pc3 band. It has been found out for the first time that the dependence of the Pc4 occurrence probability on the IMF clock angle (phi = tan(-2) (B/B-z) is identical in the regions of projections of closed and open field lines, whereas this dependence is different for Pc3. In the region of projections of closed field lines, the Pc3 occurrence probability increases at B-z &lt; 0 and B-y &gt; 0 (the condition under which the cusp shifts on the dawn side) and at B-y &lt; 0 and B-z &gt; 0 (which is typical of the formation of the low-latitude boundary plasma sheet). In the region of projections of open field lines such a probability increases at B-y &lt; 0 and B (z) &lt; 0 (which results in the formation of the high-latitude boundary plasma sheet). Based on the discovered regularities, the conclusion has been made that the sources of generation of high-latitude Pc3 and Pc4 pulsations are different.</t>
  </si>
  <si>
    <t>Russian Acad Sci, Inst Phys Earth, Moscow 123995, Russia; Augsburg Coll, Dept Phys, Minneapolis, MN 55454 USA; British Antarctic Survey, Cambridge CB3 0ET, England</t>
  </si>
  <si>
    <t>Russian Academy of Sciences; Schmidt Institute of Physics of the Earth of the Russian Academy of Sciences; Augsburg University; UK Research &amp; Innovation (UKRI); Natural Environment Research Council (NERC); NERC British Antarctic Survey</t>
  </si>
  <si>
    <t>Chugunova, OM (corresponding author), Russian Acad Sci, Inst Phys Earth, Bolshaya Gruzinskaya Ul 10, Moscow 123995, Russia.</t>
  </si>
  <si>
    <t>NERC [bas010020, bas010022] Funding Source: UKRI; Natural Environment Research Council [bas010022, bas010020] Funding Source: researchfish</t>
  </si>
  <si>
    <t>10.1134/S0016793207020089</t>
  </si>
  <si>
    <t>160XI</t>
  </si>
  <si>
    <t>WOS:000245976800008</t>
  </si>
  <si>
    <t>Blagoveshchensky, DV; Kornienko, VA</t>
  </si>
  <si>
    <t>Blagoveshchensky, D. V.; Kornienko, V. A.</t>
  </si>
  <si>
    <t>Studying the ionosphere with the incoherent scatter radar during the magnetic storm of January 10, 1997</t>
  </si>
  <si>
    <t>TROUGH; MIDLATITUDE; DYNAMICS; PROPAGATION; PHASE</t>
  </si>
  <si>
    <t>Specific features of the variations and structure of the ionosphere above northern Europe during the known magnetospheric storm of January 10, 1997, have been analyzed using the oblique-incidence backscatter (OIB) methods. The OIB equipment installed near St. Petersburg, Gor'kovskaya (AANII), represent a BIZON small radar, the data of which were compared with the CUTLASS radar data, GPS observations of TEC, and geophysical data of the Sweden, Finnish, and Russian high-latitude observatories. A local substorm that occurred from 1451 to 1655 UT has been studied in detail, and 52 OIB ionograms have been obtained. The types of reflections from the MIT polar wall and the narrow ionization trough have been identified.</t>
  </si>
  <si>
    <t>St Petersburg State Univ Aerosp Instrument Making, St Petersburg, Russia; Russian State Comm Hydrometeorol, St Petersburg Arctic &amp; Antarctic Res Inst, St Petersburg, Russia</t>
  </si>
  <si>
    <t>Saint Petersburg State University of Aerospace Instrumentation; Arctic &amp; Antarctic Research Institute</t>
  </si>
  <si>
    <t>Blagoveshchensky, DV (corresponding author), St Petersburg State Univ Aerosp Instrument Making, St Petersburg, Russia.</t>
  </si>
  <si>
    <t>Science and Technology Facilities Council [PP/E007929/1] Funding Source: researchfish; STFC [PP/E007929/1] Funding Source: UKRI</t>
  </si>
  <si>
    <t>Science and Technology Facilities Council(UK Research &amp; Innovation (UKRI)Science &amp; Technology Facilities Council (STFC)); STFC(UK Research &amp; Innovation (UKRI)Science &amp; Technology Facilities Council (STFC))</t>
  </si>
  <si>
    <t>10.1134/S0016793207020119</t>
  </si>
  <si>
    <t>WOS:000245976800011</t>
  </si>
  <si>
    <t>Adee, S</t>
  </si>
  <si>
    <t>Adee, Sally</t>
  </si>
  <si>
    <t>Massive Antarctic lakes discovered</t>
  </si>
  <si>
    <t>156WB</t>
  </si>
  <si>
    <t>WOS:000245679500006</t>
  </si>
  <si>
    <t>Kattsov, VM; Alekseev, GV; Pavlova, TV; Sporyshev, PV; Bekryaev, RV; Govorkova, VA</t>
  </si>
  <si>
    <t>Kattsov, V. M.; Alekseev, G. V.; Pavlova, T. V.; Sporyshev, P. V.; Bekryaev, R. V.; Govorkova, V. A.</t>
  </si>
  <si>
    <t>Modeling the evolution of the world ocean ice cover in the 20th and 21st centuries</t>
  </si>
  <si>
    <t>SEA-ICE; CLIMATE-CHANGE; COUPLED MODELS; AIR-TEMPERATURE; VARIABILITY; SIMULATIONS; DYNAMICS; IMPACT</t>
  </si>
  <si>
    <t>The current state of the simulation of sea ice cover as a component of new-generation global climate models is considered. Results from the model ensemble simulation of the observed world ocean ice cover, including its evolution in the 20th century, are analyzed, and projection of possible changes in the 21st century for three scenarios of anthropogenic forcing of the climate system are described. Unresolved problems and priorities for sea ice modeling are discussed.</t>
  </si>
  <si>
    <t>Roshydromet, Voeikov Main Geophys Observ, St Petersburg 194021, Russia; Roshydromet, Arctic &amp; Antarctic Res Inst, St Petersburg 199397, Russia</t>
  </si>
  <si>
    <t>Kattsov, VM (corresponding author), Roshydromet, Voeikov Main Geophys Observ, Ul Karbysheva 7, St Petersburg 194021, Russia.</t>
  </si>
  <si>
    <t>kattsov@main.mgo.rssi.ru; bekryaev@aari.nw.ru</t>
  </si>
  <si>
    <t>Kattsov, Vladimir M/D-1467-2016; Pavlova, Tatiana V/D-1456-2016; Sporyshev, Petr/P-7323-2015</t>
  </si>
  <si>
    <t>Sporyshev, Petr/0000-0002-4047-8178; Kattsov, Vladimir/0000-0001-9108-3670</t>
  </si>
  <si>
    <t>10.1134/S0001433807020028</t>
  </si>
  <si>
    <t>166NO</t>
  </si>
  <si>
    <t>WOS:000246385900002</t>
  </si>
  <si>
    <t>Galushko, VG; Kashcheyev, AS; Kashcheyev, SB; Koloskov, AV; Pikulik, II; Yampolski, YM; Litvinov, VA; Milinevsky, GP; Rakusa-Suszczewski, S</t>
  </si>
  <si>
    <t>Galushko, V. G.; Kashcheyev, A. S.; Kashcheyev, S. B.; Koloskov, A. V.; Pikulik, I. I.; Yampolski, Y. M.; Litvinov, V. A.; Milinevsky, G. P.; Rakusa-Suszczewski, S.</t>
  </si>
  <si>
    <t>Bistatic HF diagnostics of TIDs over the Antarctic Peninsula</t>
  </si>
  <si>
    <t>JOURNAL OF ATMOSPHERIC AND SOLAR-TERRESTRIAL PHYSICS</t>
  </si>
  <si>
    <t>traveling ionospheric disturbances; frequency-and-angular sounding; ionosphere; sources of TID generation</t>
  </si>
  <si>
    <t>Results of HF diagnostics of traveling ionospheric disturbances (TIDs) over the Antarctic Peninsula are presented that have been obtained in the frequency-and-angular sounding technique developed at the Institute of Radio Astronomy, National Academy of Sciences of Ukraine (Kharkov, Ukraine). A specially designed HF transmitter was deployed at the Polish Antarctic station Henryk Arctowski to radiate probe signals. Variations in trajectory parameters (angles of arrival and Doppler frequency shifts) of the probe signals used for recovering TID characteristics were recorded at the Ukrainian Antarctic station Akademik Vernadsky with a compact-size three-channel coherent receiver based on the Doppler interferometry technique. The propagation path length was approximately 440 km. Round-the-clock measurements were performed between 31 January and 16 March, 2004 at frequencies 5 to 7 MHz, depending on the ionospheric conditions. The total time of observations was about 1000h. Results of preliminary processing of the measured data are reported. Characteristic parameters of the disturbances are presented and possible sources of their generation are discussed. (c) 2006 Elsevier Ltd. All rights reserved.</t>
  </si>
  <si>
    <t>Natl Acad Sci Ukraine, Inst Radio Astron, UA-61002 Kharkov, Ukraine; Minist Educ &amp; Sci Ukraine, Natl Antarctic Sci Ctr, UA-01601 Kiev, Ukraine; Polish Acad Sci, Dept Antarctic Biol, PL-02141 Warsaw, Poland</t>
  </si>
  <si>
    <t>National Academy of Sciences Ukraine; Institute of Radio Astronomy of the National Academy of Sciences of Ukraine; Ministry of Education &amp; Science of Ukraine; State Institution National Antarctic Scientific Center; Polish Academy of Sciences</t>
  </si>
  <si>
    <t>Galushko, VG (corresponding author), Natl Acad Sci Ukraine, Inst Radio Astron, 4,Chervonopraporna St, UA-61002 Kharkov, Ukraine.</t>
  </si>
  <si>
    <t>galushko@rian.kharkov.ua</t>
  </si>
  <si>
    <t>yampolskiy, yuriy m/ABA-8387-2020; Koloskov, Oleksandr/ABB-4631-2020; Galushko, Volodymyr G/F-6354-2019; Milinevsky, Gennadi/AAD-8801-2019; Yampolski, Yuri/AAU-3037-2021</t>
  </si>
  <si>
    <t>Koloskov, Oleksandr/0000-0001-8921-3851; Milinevsky, Gennadi/0000-0002-2342-2615; Yampolski, Yuri/0000-0002-6142-5753</t>
  </si>
  <si>
    <t>1364-6826</t>
  </si>
  <si>
    <t>J ATMOS SOL-TERR PHY</t>
  </si>
  <si>
    <t>J. Atmos. Sol.-Terr. Phys.</t>
  </si>
  <si>
    <t>4-5</t>
  </si>
  <si>
    <t>10.1016/j.jastp.2006.05.010</t>
  </si>
  <si>
    <t>162KL</t>
  </si>
  <si>
    <t>WOS:000246085900001</t>
  </si>
  <si>
    <t>Hibbins, RE; Espy, PJ; Jarvis, MJ; Riggin, DM; Fritts, DC</t>
  </si>
  <si>
    <t>Hibbins, R. E.; Espy, P. J.; Jarvis, M. J.; Riggin, D. M.; Fritts, D. C.</t>
  </si>
  <si>
    <t>A climatology of tides and gravity wave variance in the MLT above Rothera, Antarctica obtained by MF radar</t>
  </si>
  <si>
    <t>mesosphere and lower thermosphere; dynamics; tides; gravity waves; MF radar; Antarctic</t>
  </si>
  <si>
    <t>LOWER THERMOSPHERE; ARCTIC MESOSPHERE; SEMIDIURNAL TIDE; POLAR MESOSPHERE; HORIZONTAL WINDS; METEOR RADAR; SOUTH-POLE; MEAN WINDS; DYNAMICS; ATMOSPHERE</t>
  </si>
  <si>
    <t>A cumulative total of over 5 years of data from an MF radar situated at Rothera (67 degrees S, 68 degrees W) on the Antarctic Peninsula have been used to derive climatologies of periodic motions in the wind field in the mesosphere and lower thermosphere with periods less than or equal to I day. Strong tidal motions are observed at 24, 12 and 8 h and monthly mean climatologies are presented between 74 and 94 km altitude for comparison with the HWM-93 horizontal wind model. The 24 h tide shows a strong seasonal dependence in both the zonal and meridional components with a summertime maximum and wintertime minimum over all altitudes. The monthly mean maximum amplitude is 12(+/- 2) ms(-1) at 94 km in January and the minimum is &lt; 1 ms(-1) around 86 km in early winter. The 12 h wave shows large short-term amplitude variability with a peak in amplitude around late autumn. It reaches a minimum at high altitudes in winter and below similar to 80 km during summer, characteristic of a mixture of migrating and non-migrating modes. The phase of the 12 h wave is relatively constant throughout winter with a minimum mean vertical wavelength of similar to 75 km around equinox. The 8 h wave is predominantly a summertime high altitude phenomenon. It is seen most strongly in the winds above 85 km and reaches monthly mean amplitudes of 6(+/- 2) ms(-1) in the zonal winds at 94 km altitude. Finally, a seasonal climatology of gravity wave variances is generated by calculating the daily mean variance in the raw winds after subtracting the fitted tidal components. This index shows a strong seasonal and height dependence in both components with a wintertime peak of similar to 2000 in m(2)s(-2) in the zonal component at the highest altitudes. This peak occurs when the stratospheric zonal jets are strongest and therefore the filtering of upward-propagating waves in the stratosphere should be greatest; implying that either a significant part of this wintertime wave activity is generated from a region above the peak stratospheric wind or that there is a strong annual variability in the source or propagation of the gravity wave activity at Rothera. (c) 2006 Elsevier Ltd. All rights reserved.</t>
  </si>
  <si>
    <t>British Antarctic Survey, Div Phys Sci, Cambridge CB3 0ET, England; NW Res Associates, Colorado Res Associates Div, Boulder, CO 80301 USA</t>
  </si>
  <si>
    <t>UK Research &amp; Innovation (UKRI); Natural Environment Research Council (NERC); NERC British Antarctic Survey; NorthWest Research Associates</t>
  </si>
  <si>
    <t>Hibbins, RE (corresponding author), British Antarctic Survey, Div Phys Sci, High Cross,Madingley Rd, Cambridge CB3 0ET, England.</t>
  </si>
  <si>
    <t>rehi@bas.ac.uk</t>
  </si>
  <si>
    <t>Hibbins, Robert/0000-0002-6867-2255</t>
  </si>
  <si>
    <t>1879-1824</t>
  </si>
  <si>
    <t>10.1016/j.jastp.2006.10.009</t>
  </si>
  <si>
    <t>WOS:000246085900015</t>
  </si>
  <si>
    <t>Evangelista, H; Maldonado, J; Godoi, RHM; Pereira, EB; Koch, D; Tanizaki-Fonseca, K; Van Grieken, R; Sampaio, M; Setzer, A; Alencar, A; Gonçalves, SC</t>
  </si>
  <si>
    <t>Evangelista, H.; Maldonado, J.; Godoi, R. H. M.; Pereira, E. B.; Koch, D.; Tanizaki-Fonseca, K.; Van Grieken, R.; Sampaio, M.; Setzer, A.; Alencar, A.; Goncalves, S. C.</t>
  </si>
  <si>
    <t>Sources and transport of urban and biomass burning aerosol black carbon at the South-West Atlantic coast</t>
  </si>
  <si>
    <t>JOURNAL OF ATMOSPHERIC CHEMISTRY</t>
  </si>
  <si>
    <t>black carbon; South-West Atlantic; Antarctic Peninsula; back trajectories; GCM</t>
  </si>
  <si>
    <t>RADIATION; EMISSIONS; CLOUDS; SMOKE</t>
  </si>
  <si>
    <t>The total extent of the atmospheric impacts associated to the aerosol black carbon (BC) emissions from South America is not completed described. This work presents results of BC monitored during three scientific expeditions (2002, 2003 and 2004) on board of a Brazilian oceanographic vessel Ary Rongel that covered the South-West Atlantic coast between 22-62 degrees S. This latitudinal band encloses major urban regions of South America and the outflow region of the SACZ (South Atlantic Convergent Zone), which is an important mechanism of advective transport of heat, moisture, minor gases and aerosols from the South America continental land to the Southern Atlantic Ocean. Our results showed that aerosol BC enhanced concentrations from urban/industrial origin can be transported to the South-West Atlantic Ocean due to the migration of sub-polar fronts that frequently reach tropical/subtropical regions. Despite the decrease of aerosol BC concentrations southwards (from similar to 1,200 ng m(-3) at latitude 22 degrees S to similar to 10 ng m(-3) at latitude 62 degrees S), several observed peak events were attributed to regional urban activities. Most of such events could be explained by the use of air mass back trajectories analysis. In addition, a global model simulation is presented (Goddard Institute for Space Studies - GISS GCM BC simulation) to explore the origins of aerosol BC in the South-West Atlantic. The model allowed isolating the biomass emissions from South America and Africa and industrial (non-biomass) pollution from other regions of the globe. This model suggests that the apportionment of about half of the aerosol BC at the South-West Atlantic may derive from South American biomass burning.</t>
  </si>
  <si>
    <t>Univ Estado Rio De Janeiro, LARAMG UERJ, Dept Biophys &amp; Biometry, BR-20550013 Rio De Janeiro, Brazil; Univ Fed Fluminense, Inst Quim, Dept Geoquim, Niteroi, RJ, Brazil; Ctr Univ Positivo UnicenP, Grad Program Environm Management, BR-81280330 Curitiba, Parana, Brazil; Brazilian Natl Space Inst INPE, CPTEC, Ctr Numer Weather Forecast &amp; Climate Studies, BR-12245970 Sao Jose Dos Campos, Brazil; Columbia Univ, Ctr Climate Syst Res, New York, NY USA; NASA, GISS, New York, NY USA; Univ Antwerp, Dept Chem, Micro &amp; Trace Anal Ctr, B-2610 Antwerp, Belgium; Brazilian Natl Space Inst INPE, BR-12245970 Sao Jose Dos Campos, SP, Brazil</t>
  </si>
  <si>
    <t>Universidade do Estado do Rio de Janeiro; Universidade Federal Fluminense; Universidade Positivo; Instituto Nacional de Pesquisas Espaciais (INPE); Columbia University; National Aeronautics &amp; Space Administration (NASA); NASA Goddard Space Flight Center; Goddard Institute for Space Studies; University of Antwerp; Instituto Nacional de Pesquisas Espaciais (INPE)</t>
  </si>
  <si>
    <t>Van Grieken, R (corresponding author), Univ Estado Rio De Janeiro, LARAMG UERJ, Dept Biophys &amp; Biometry, PAvilhao HLC Subsolo R Sao Francisco Xavier 524, BR-20550013 Rio De Janeiro, Brazil.</t>
  </si>
  <si>
    <t>heitor@uerj.br; juantsi@yahoo.com.br; ricardo.godoi@unicenp.edu.br; eniobp@cptec.inpe.br; dkoch@giss.nasa.gov; Rene.VanGrieken@ua.ac.be; marcelo.sampaio@dge.inpe.br; asetzer@cptec.inpe.br</t>
  </si>
  <si>
    <t>Pereira, Enio/AAH-3308-2020; Evangelista, Heitor/C-7561-2013; Setzer, Alberto W/HCI-4388-2022; godoi, ricardo henrique moreton/P-6795-2019</t>
  </si>
  <si>
    <t>Pereira, Enio/0000-0002-5095-0085; Setzer, Alberto W/0000-0002-2466-7366; godoi, ricardo henrique moreton/0000-0002-4774-4870</t>
  </si>
  <si>
    <t>0167-7764</t>
  </si>
  <si>
    <t>1573-0662</t>
  </si>
  <si>
    <t>J ATMOS CHEM</t>
  </si>
  <si>
    <t>J. Atmos. Chem.</t>
  </si>
  <si>
    <t>10.1007/s10874-006-9052-8</t>
  </si>
  <si>
    <t>148VT</t>
  </si>
  <si>
    <t>WOS:000245105900002</t>
  </si>
  <si>
    <t>Nara, H; Toyoda, S; Yoshida, N</t>
  </si>
  <si>
    <t>Nara, Hideki; Toyoda, Sakae; Yoshida, Naohiro</t>
  </si>
  <si>
    <t>Measurements of stable carbon isotopic composition of ethane and propane over the western North Pacific and eastern Indian Ocean: A useful indicator of atmospheric transport process</t>
  </si>
  <si>
    <t>maritime air; non-methane hydrocarbons; oceanic emissions; stable carbon isotope ratio; western North Pacific</t>
  </si>
  <si>
    <t>VOLATILE ORGANIC-COMPOUNDS; LIGHT NONMETHANE HYDROCARBONS; MARINE BOUNDARY-LAYER; HYDROXYL RADICAL CONCENTRATIONS; AIR MASSES; PHOTOCHEMICAL HISTORIES; POINT-ARENA; PEM-WEST; ANTARCTIC TROPOSPHERE; URBAN ATMOSPHERE</t>
  </si>
  <si>
    <t>Stable carbon isotopic composition of ethane and propane over the western North Pacific and eastern Indian Ocean between 31 degrees N and 26 degrees S was investigated from February through March 2004. The isotopic composition of ethane ranged from -28 to -18% and showed a gradual increase from north to south. Conversely, that of propane was between -31 and -24%; it showed no systematic latitudinal variation. Investigation of the ethane/propane ratio indicates that ethane and propane that originated from northern mid-latitude countries in the eastern part of Eurasia were both transported into the western North Pacific region. However, the results of the isotopic analyses indicate the contribution of oceanic emission to the atmospheric propane during transport, although that contribution can not be discerned for ethane. A ship based stationary observation conducted in the western equatorial North Pacific showed that the isotopic composition of ethane varied from -25 to -19% and showed clear systematic diurnal variation: propane ranged between -32 to -26% and no such isotopic diurnal signal was observed. The diurnal variation for ethane is explained by entrainment of free tropospheric air, whereas the variation for propane was influenced by oceanic emissions as well as the entrainment. The contribution of oceanic emissions to the atmospheric propane inventory was considered from our isotopic observation. Isotopic composition of dissolved propane is estimated to be less than -38%, and the contribution up to 79% was calculated when the isotopic composition of dissolved propane is assumed to be -40%. Our study demonstrates that isotopic analysis can be more useful than ratio-based analysis to improve our present understanding of transport processes, especially for impact of the oceanic emissions on the atmospheric distribution of low level C(2)-C(5) non-methane hydrocarbons such as propane in the remote marine atmosphere.</t>
  </si>
  <si>
    <t>Tokyo Inst Technol, Interdisciplinary Grad Sch Sci &amp; Engn, Dept Environm Sci &amp; Technol, Yoshida Lab,Mirori Ku, Kanagawa 2268502, Japan; JST, SORST, Kawaguchi, Saitama 3320012, Japan; Tokyo Inst Technol, Interdisciplinary Grad Sch Sci &amp; Engn, Dept Environm Chem &amp; Engn, Yokohama, Kanagawa 2268502, Japan; Tokyo Inst Technol, Frontier Collaborat Res Ctr, Yokohama, Kanagawa 2268502, Japan</t>
  </si>
  <si>
    <t>Tokyo Institute of Technology; Japan Science &amp; Technology Agency (JST); Tokyo Institute of Technology; Tokyo Institute of Technology</t>
  </si>
  <si>
    <t>Nara, H (corresponding author), Tokyo Inst Technol, Interdisciplinary Grad Sch Sci &amp; Engn, Dept Environm Sci &amp; Technol, Yoshida Lab,Mirori Ku, S2-17,4259 Nagatsuta, Kanagawa 2268502, Japan.</t>
  </si>
  <si>
    <t>hnara@depe.titech.ac.jp</t>
  </si>
  <si>
    <t>Toyoda, Sakae/J-7151-2013; Yoshida, Naohiro/A-8335-2010; Hideki, Nara/H-8365-2018</t>
  </si>
  <si>
    <t>Toyoda, Sakae/0000-0003-1624-5910; Yoshida, Naohiro/0000-0003-0454-3849;</t>
  </si>
  <si>
    <t>10.1007/s10874-006-9057-3</t>
  </si>
  <si>
    <t>WOS:000245105900006</t>
  </si>
  <si>
    <t>Linton, CJ; Borman, AM; Cheung, G; Holmes, AD; Szekely, A; Palmer, MD; Bridge, PD; Campbell, CK; Johnson, EM</t>
  </si>
  <si>
    <t>Linton, Christopher J.; Borman, Andrew M.; Cheung, Grace; Holmes, Ann D.; Szekely, Adrien; Palmer, Michael D.; Bridge, Paul D.; Campbell, Colin K.; Johnson, Elizabeth M.</t>
  </si>
  <si>
    <t>Molecular identification of unusual pathogenic yeast isolates by large ribosomal subunit gene sequencing: 2 years of experience at the United Kingdom Mycology Reference Laboratory</t>
  </si>
  <si>
    <t>JOURNAL OF CLINICAL MICROBIOLOGY</t>
  </si>
  <si>
    <t>MEDICALLY IMPORTANT YEASTS; CANDIDA-ALBICANS; RAPID IDENTIFICATION; AUXACOLOR SYSTEM; PCR; EPIDEMIOLOGY; DUBLINIENSIS; INFECTION; ALIGNMENT; SPP.</t>
  </si>
  <si>
    <t>Rapid identification of yeast isolates from clinical samples is particularly important given their innately variable antifungal susceptibility profiles. We present here an analysis of the utility of PCR amplification and sequence analysis of the hypervariable D1/D2 region of the 26S rRNA gene for the identification of yeast species submitted to the United Kingdom Mycology Reference Laboratory over a 2-year period. A total of 3,033 clinical isolates were received from 2004 to 2006 encompassing 50 different yeast species. While more than 90% of the isolates, corresponding to the most common Candida species, could be identified by using the AUXACOLOR2 yeast identification kit, 153 isolates (5%), comprised of 47 species, could not be identified by using this system and were subjected to molecular identification via 26S rRNA gene sequencing. These isolates included some common species that exhibited atypical biochemical and phenotypic profiles and also many rarer yeast species that are infrequently encountered in the clinical setting. All 47 species requiring molecular identification were unambiguously identified on the basis of D1/D2 sequences, and the molecular identities correlated well with the observed biochemical profiles of the various organisms. Together, our data underscore the utility of molecular techniques as a reference adjunct to conventional methods of yeast identification. Further, we show that PCR amplification and sequencing of the D1/D2 region reliably identifies more than 45 species of clinically significant yeasts and can also potentially identify new pathogenic yeast species.</t>
  </si>
  <si>
    <t>Hlth Protect Agcy, Mycol Reference Lab, SW Reg Lab, Bristol BS2 8EL, Avon, England; Univ Bristol, Dept Pathol &amp; Microbiol, Bristol, Avon, England; British Antarctic Survey, Cambridge CB3 0ET, England</t>
  </si>
  <si>
    <t>Health Protection Agency; University of Bristol; UK Research &amp; Innovation (UKRI); Natural Environment Research Council (NERC); NERC British Antarctic Survey</t>
  </si>
  <si>
    <t>Linton, CJ (corresponding author), Hlth Protect Agcy, Mycol Reference Lab, SW Reg Lab, Myrtle Rd, Bristol BS2 8EL, Avon, England.</t>
  </si>
  <si>
    <t>Chris.Linton@bris.ac.uk</t>
  </si>
  <si>
    <t>Borman, Andy/H-3663-2019</t>
  </si>
  <si>
    <t>Borman, Andy/0000-0003-0585-5721; Palmer, Michael/0000-0003-1136-8962</t>
  </si>
  <si>
    <t>0095-1137</t>
  </si>
  <si>
    <t>1098-660X</t>
  </si>
  <si>
    <t>J CLIN MICROBIOL</t>
  </si>
  <si>
    <t>J. Clin. Microbiol.</t>
  </si>
  <si>
    <t>10.1128/JCM.02061-06</t>
  </si>
  <si>
    <t>158GI</t>
  </si>
  <si>
    <t>WOS:000245779300012</t>
  </si>
  <si>
    <t>Mäkinen, J; Amalvict, M; Shibuya, K; Fukuda, Y</t>
  </si>
  <si>
    <t>Makinen, J.; Amalvict, M.; Shibuya, K.; Fukuda, Y.</t>
  </si>
  <si>
    <t>Absolute gravimetry in Antarctica:: Status and prospects</t>
  </si>
  <si>
    <t>JOURNAL OF GEODYNAMICS</t>
  </si>
  <si>
    <t>Antarctica; absolute gravity; GPS; DORIS; VLBI; glacial isostatic adjustment (GIA); postglacial rebound (PGR); glacier balance</t>
  </si>
  <si>
    <t>LATE PLEISTOCENE; ICE-SHEET; GRAVITY MEASUREMENTS; CRUSTAL MOTIONS; MELTING HISTORY; SYOWA STATION; MASS-BALANCE; POLAR ICE; LEVEL; SEA</t>
  </si>
  <si>
    <t>Twenty-three absolute gravity measurements at 12 stations have been performed in the Antarctic up to 2004. We review the measurements, and present a catalogue of gravity values. Four of the sites have repeated occupations. Gravity is sensitive both to elevation change and to changes in density distribution caused by past and present changes in the Antarctic ice mass. Thus, repeated absolute gravity measurements, especially when collocated with observations of vertical displacement from precise positioning systems, can provide information on the time evolution of the Antarctic ice sheet. We compare the observed gravity change with observed vertical motion, and with predictions from various models of the glacial isostatic adjustment and of present glacier mass balance. (C) 2006 Elsevier Ltd. All rights reserved.</t>
  </si>
  <si>
    <t>EOST IPGS, UMR CNRS ULP 7516, F-67000 Strasbourg, France; Natl Inst Polar Res, Itabashi Ku, Tokyo 1738515, Japan; Finnish Geodet Inst, FIN-02431 Masala, Finland; Kyoto Univ, Sakyo Ku, Kyoto 6068502, Japan</t>
  </si>
  <si>
    <t>Research Organization of Information &amp; Systems (ROIS); National Institute of Polar Research (NIPR) - Japan; The National Land Survey of Finland; Finnish Geospatial Research Institute (FGI); Kyoto University</t>
  </si>
  <si>
    <t>Amalvict, M (corresponding author), EOST IPGS, UMR CNRS ULP 7516, 5 Rue Rene Descartes, F-67000 Strasbourg, France.</t>
  </si>
  <si>
    <t>mamalvict@eost.u-strasbg.fr</t>
  </si>
  <si>
    <t>0264-3707</t>
  </si>
  <si>
    <t>J GEODYN</t>
  </si>
  <si>
    <t>J. Geodyn.</t>
  </si>
  <si>
    <t>10.1016/j.jog.2006.08.002</t>
  </si>
  <si>
    <t>164MW</t>
  </si>
  <si>
    <t>WOS:000246239100001</t>
  </si>
  <si>
    <t>Zhang, J; Lin, S; Zeng, RY</t>
  </si>
  <si>
    <t>Zhang, Jinwei; Lin, Shu; Zeng, Runying</t>
  </si>
  <si>
    <t>Cloning, expression, and characterization of a cold-adapted lipase gene from an Antarctic deep-sea psychrotrophic bacterium, Psychrobacter sp 7195</t>
  </si>
  <si>
    <t>deep-sea sediment; cold-adapted lipase; Psychrobacter; recombinant protein</t>
  </si>
  <si>
    <t>ESCHERICHIA-COLI; LIPOLYTIC ENZYMES; MORAXELLA TA144; PURIFICATION; SEQUENCE; OVERPRODUCTION; BIOTECHNOLOGY; ACTIVATION; GENOME; FAMILY</t>
  </si>
  <si>
    <t>A psychrotrophic strain 7195 showing extracellular lipolytic activity towards tributyrin was isolated from deepsea sediment of Prydz Bay and identified as a Psychrobacter species. By screening a genomic DNA library of Psychrobacter sp. 7195, an open reading frame of 954 bp coding for a lipase gene, lipA1, was identified, cloned, and sequenced. The deduced LipA1 consisted of 317 amino acids with a molecular mass of 35,210 kDa. It had one consensus motif, G-N-S-M-G (GXSXG), containing the putative active-site serine, which was conserved in other cold-adapted lipolytic enzymes. The recombinant LipA1 was purified by column chromatography with DEAE Sepharose CL-4B, and Sephadex G-75, and preparative polyacrylamide gel electrophoresis, in sequence. The purified enzyme showed highest activity at 30 degrees C, and was unstable at temperatures higher than 30 degrees C, indicating that it was a typical cold-adapted enzyme. The optimal pH for activity was 9.0, and the enzyme was stable between pH 7.0-10.0 after 24 h incubation at 4 degrees C. The addition of Ca2+ and Mg2+ enhanced the enzyme activity of LipA1, whereas the Cd Zn2+, Co2+ Fe3+, Hg2+, Fe2+ Rb2+, and EDTA strongly inhibited the activity. The LipA1 was activated by various detergents, such as Triton X-100, Tween 80, Tween 40, Span 60, Span 40, CHAPS, and SDS, and showed better resistance towards them. Substrate specificity analysis showed that there was a preference for trimyristin and p-nitrophenyl myristate (C-14 acyl groups).</t>
  </si>
  <si>
    <t>State Ocean Adm, Key Lab Marine Biogenet Resources, Xiamen, Peoples R China; State Ocean Adm, Inst Oceanog 3, Xiamen, Peoples R China; Univ Sci &amp; Technol China, Sch Life Sci, Hefei, Peoples R China</t>
  </si>
  <si>
    <t>Third Institute of Oceanography, Ministry of Natural Resources; Chinese Academy of Sciences; University of Science &amp; Technology of China, CAS</t>
  </si>
  <si>
    <t>Zeng, RY (corresponding author), State Ocean Adm, Key Lab Marine Biogenet Resources, Xiamen, Peoples R China.</t>
  </si>
  <si>
    <t>runyingzeng@yahoo.com.cn</t>
  </si>
  <si>
    <t>Zhang, Jinwei/Q-7959-2019; Lin, Shu/C-3790-2013</t>
  </si>
  <si>
    <t>Zhang, Jinwei/0000-0001-8683-509X;</t>
  </si>
  <si>
    <t>162OH</t>
  </si>
  <si>
    <t>WOS:000246096700008</t>
  </si>
  <si>
    <t>Ehnert, W; McRoy, CP</t>
  </si>
  <si>
    <t>Ehnert, Wendy; McRoy, C. Peter</t>
  </si>
  <si>
    <t>Phytoplankton biomass and size fractions in surface waters of the Australian sector of the Southern Ocean</t>
  </si>
  <si>
    <t>Southern Ocean; phytoplankton; chlorophyll; size fractions; surface temperature and salinity</t>
  </si>
  <si>
    <t>ANTARCTIC CIRCUMPOLAR CURRENT; IRON FERTILIZATION; SEASONAL EVOLUTION; ATLANTIC SECTOR; DYNAMICS; CARBON; ZONE; DISTRIBUTIONS; PATTERNS; SILICON</t>
  </si>
  <si>
    <t>We collected surface water along the 142nd E meridian from Tasmania to Antarctica in December 1999. We measured temperature, salinity and total chlorophyll a; additionally, we collected suspended particle size fractions and used fluorometric analysis to determine the quantity of chlorophyll a in each of four cell size classes: picoplankton (&lt; 3 mu m), two nanoplankton fractions (3-10 mu m and 10-20 mu m) and microplankton (&gt;= 20 mu m). Changes in temperature and salinity show that we crossed 6 water masses separated by 5 fronts. We found low abundance (&lt; 0.2 mg m(-3)) of chlorophyll in all size classes, with the exception of higher values near the continent (0.2 to 0.4 mg m(-3)). Lowest chlorophyll values (&lt; 0.1 mg m(-3)) were found in the Polar Frontal Zone (51 to 54 degrees S). Microplankton made up the largest portion of total chlorophyll throughout most of the region. We conclude that biomass of all phytoplankton fractions, especially pico- and nanoplankton, was constrained by limiting factors, most probably iron, throughout the region and that ecosystem dynamics within a zone are not circumpolar but are regionalized within sectors.</t>
  </si>
  <si>
    <t>Univ Alaska Fairbanks, Inst Marine Sci, Sch Fisheries &amp; Ocean Sci, Fairbanks, AK 99775 USA; Austin E Lathrop High Sch, Fairbanks, AK 99701 USA</t>
  </si>
  <si>
    <t>McRoy, CP (corresponding author), Univ Alaska Fairbanks, Inst Marine Sci, Sch Fisheries &amp; Ocean Sci, Fairbanks, AK 99775 USA.</t>
  </si>
  <si>
    <t>ffcpm@uaf.edu</t>
  </si>
  <si>
    <t>10.1007/s10872-007-0020-y</t>
  </si>
  <si>
    <t>141WS</t>
  </si>
  <si>
    <t>WOS:000244610300002</t>
  </si>
  <si>
    <t>Beal, LM</t>
  </si>
  <si>
    <t>Beal, Lisa M.</t>
  </si>
  <si>
    <t>Is interleaving in the Agulhas Current driven by near-inertial velocity perturbations?</t>
  </si>
  <si>
    <t>ANTARCTIC POLAR FRONT; FINE-STRUCTURE; DOUBLE DIFFUSION; GULF-STREAM; SCALE; TEMPERATURE; INTRUSIONS</t>
  </si>
  <si>
    <t>Recent observations taken at a number of latitudes in the Agulhas Current reveal that the water mass structure on either side of its dynamical core is distinctly different. Moreover, interleaving of these distinct water masses is observed at over 80% of the stations occupied in the current, particularly within the subsurface density layer between tropical surface water and subtropical surface water masses, and within the intermediate layer between the Antarctic Intermediate Water and Red Sea water masses. Direct velocity measurements allow for a comparison between the characteristic vertical length scales of the Agulhas intrusions and those of velocity perturbations found throughout the current. It is found that the interleaving scales match those of the velocity perturbations, which are manifest as high-wavenumber vertical shear layers and are identified as near-inertial oscillations. Furthermore, the properties of the intrusions indicate that double diffusion is not an important process in their development: they are generally not associated with a density anomaly, their slope and thickness fall outside the predicted maxima for instability, and a strong horizontal shear field acts to separate water parcels more quickly than intrusions would be able to grow by double-diffusive processes. Instead, the position, thickness, and slope of Agulhas intrusions relative to the background salinity and density field suggest that they are forced by rotating inertial velocities, with subsequent growth possibly driven by small-scale baroclinic instabilities. However, not all the evidence points conclusively toward advectively driven intrusions. For instance, there is a discrepancy between the observed salinity anomaly amplitude and the predicted inertial displacement given the background salinity gradient, which deserves further examination. Hence, there is a future need for more pointed observations and perhaps the development of an analytical or numerical model to understand the exact nature of Agulhas intrusions.</t>
  </si>
  <si>
    <t>Univ Miami, Rosenstiel Sch Marine &amp; Atmospher Sci, Miami, FL 33149 USA</t>
  </si>
  <si>
    <t>University of Miami</t>
  </si>
  <si>
    <t>Beal, LM (corresponding author), Univ Miami, Rosenstiel Sch Marine &amp; Atmospher Sci, 4600 Rickenbacker Causeway, Miami, FL 33149 USA.</t>
  </si>
  <si>
    <t>lbeal@rsmas.miami.edu</t>
  </si>
  <si>
    <t>Beal, Lisa/0000-0003-3678-5367</t>
  </si>
  <si>
    <t>10.1175/JPO3040.1</t>
  </si>
  <si>
    <t>163HS</t>
  </si>
  <si>
    <t>WOS:000246151300009</t>
  </si>
  <si>
    <t>Sharma, GK; Takahashi, K</t>
  </si>
  <si>
    <t>Sharma, Girish Kumar; Takahashi, Kozo</t>
  </si>
  <si>
    <t>Pleistocene radiolaria from the antarctic continental margin: Distribution and biostratigraphy</t>
  </si>
  <si>
    <t>JOURNAL OF THE GEOLOGICAL SOCIETY OF INDIA</t>
  </si>
  <si>
    <t>pleistocene radiolaria; radiolarian zone; southern ocean region; antarctica</t>
  </si>
  <si>
    <t>ATLANTIC</t>
  </si>
  <si>
    <t>The paper presents a first comprehensive account of Pleistocene radiolarians from a Piston core KH94-4AMR-2PC in the Antarctic continental margin of the Southern Ocean region. Seventy five well preserved radiolarians from the fifty four samples were identified. The study shows that the section lies in the Chi Zone. This zone is further subdivided into lower and upper Chi subzones on the basis of last appearance, consistent appearance and highest common appearance. Twenty five new species were encountered and described but they have not been formally named. Minor reworking is observed in the studied sequence.</t>
  </si>
  <si>
    <t>Kumaun Univ, Dept Geol, Naini Tal 263002, India; Kyushu Univ, Fac Sci, Dept Earth &amp; Planetary Sci, Fukuoka, Japan</t>
  </si>
  <si>
    <t>Kumaun University; Kyushu University</t>
  </si>
  <si>
    <t>Sharma, GK (corresponding author), Kumaun Univ, Dept Geol, Naini Tal 263002, India.</t>
  </si>
  <si>
    <t>Takahashi, Kozo/0000-0001-8660-4371</t>
  </si>
  <si>
    <t>SPRINGER INDIA</t>
  </si>
  <si>
    <t>NEW DELHI</t>
  </si>
  <si>
    <t>7TH FLOOR, VIJAYA BUILDING, 17, BARAKHAMBA ROAD, NEW DELHI, 110 001, INDIA</t>
  </si>
  <si>
    <t>0016-7622</t>
  </si>
  <si>
    <t>0974-6889</t>
  </si>
  <si>
    <t>J GEOL SOC INDIA</t>
  </si>
  <si>
    <t>J. Geol. Soc. India</t>
  </si>
  <si>
    <t>176MJ</t>
  </si>
  <si>
    <t>WOS:000247089100018</t>
  </si>
  <si>
    <t>Luis, AJ</t>
  </si>
  <si>
    <t>Luis, A. J.</t>
  </si>
  <si>
    <t>Sipe's fifth Asia Pacific Remote Sensing Symposium in Goa</t>
  </si>
  <si>
    <t>Natl Ctr Antarctic &amp; Ocean Res, Headland Sada 403804, Goa, India</t>
  </si>
  <si>
    <t>Luis, AJ (corresponding author), Natl Ctr Antarctic &amp; Ocean Res, Headland Sada 403804, Goa, India.</t>
  </si>
  <si>
    <t>Luis, Dr Alvarinho J./0000-0002-3425-8048</t>
  </si>
  <si>
    <t>GEOLOGICAL SOC INDIA</t>
  </si>
  <si>
    <t>#64 12TH CROSS, BASAPPA LAYOUT P B 1922, GAVIPURAM PO, BANGALORE 560019, INDIA</t>
  </si>
  <si>
    <t>WOS:000247089100029</t>
  </si>
  <si>
    <t>Xavier, JC; Croxall, JP</t>
  </si>
  <si>
    <t>Xavier, J. C.; Croxall, J. P.</t>
  </si>
  <si>
    <t>Predator-prey interactions: why do larger albatrosses eat bigger squid?</t>
  </si>
  <si>
    <t>JOURNAL OF ZOOLOGY</t>
  </si>
  <si>
    <t>albatross; squid; Antarctic; predator-prey interactions</t>
  </si>
  <si>
    <t>PENGUINS APTENODYTES-FORSTERI; DIOMEDEA-EXULANS; WANDERING ALBATROSSES; CEPHALOPOD PREY; GALITEUTHIS-GLACIALIS; INTERANNUAL VARIATION; SOUTH GEORGIA; WEDDELL SEA; DIET; EMPEROR</t>
  </si>
  <si>
    <t>The relationship between predator sizes and prey sizes is well documented for terrestrial but rarely for marine ecosystems. We show that wandering albatrosses, the biggest albatross species, feed on larger cephalopod prey than those consumed by smaller albatrosses (grey-headed and black-browed albatrosses). This reflects differences in timing of breeding, foraging ecology and their feeding methods. Wandering albatrosses breed later in the year, during the austral winter, than smaller albatrosses (therefore catching older squid) and forage most of the year in Antarctic open waters, sub-Antarctic, subtropical and tropical waters, overlapping minimally with the smaller albatrosses' foraging range while breeding. Also, wandering albatrosses mostly scavenge whereas smaller albatrosses feed more on live prey. Prey ecology may also play a key role because many squid species might experience post-spawning mortality during the austral winter, becoming easily available to wandering albatrosses. Spawning in winter can be linked to predator avoidance (i.e. reduction in mortality in winter by avoiding pelagic predators) and would allow squid larvae to develop and take advantage of the high productivity (i.e. Antarctic phytoplankton bloom) in spring and at the beginning of summer. Thus, aspects of prey and predator ecology may combine to generate observed differences in prey size.</t>
  </si>
  <si>
    <t>Univ Algarve, Ctr Marine Sci, CCMAR, P-8000139 Faro, Portugal; NERC, British Antarctic Survey, Cambridge, England</t>
  </si>
  <si>
    <t>Universidade do Algarve; UK Research &amp; Innovation (UKRI); Natural Environment Research Council (NERC); NERC British Antarctic Survey</t>
  </si>
  <si>
    <t>Xavier, JC (corresponding author), Univ Algarve, Ctr Marine Sci, CCMAR, Campus Gambelas, P-8000139 Faro, Portugal.</t>
  </si>
  <si>
    <t>JCCX@cantab.net</t>
  </si>
  <si>
    <t>Xavier, José/KFB-6739-2024</t>
  </si>
  <si>
    <t>/0000-0002-9621-6660</t>
  </si>
  <si>
    <t>0952-8369</t>
  </si>
  <si>
    <t>1469-7998</t>
  </si>
  <si>
    <t>J ZOOL</t>
  </si>
  <si>
    <t>J. Zool.</t>
  </si>
  <si>
    <t>10.1111/j.1469-7998.2006.00224.x</t>
  </si>
  <si>
    <t>144LD</t>
  </si>
  <si>
    <t>WOS:000244796600005</t>
  </si>
  <si>
    <t>Branch, TA; Stafford, KM; Palacios, DM; Allison, C; Bannister, JL; Burton, CLK; Cabrera, E; Carlson, CA; Vernazzani, BG; Gill, PC; Hucke-Gaete, R; Jenner, KCS; Jenner, MNM; Matsuoka, K; Mikhalev, YA; Miyashita, T; Morrice, MG; Nishiwaki, S; Sturrock, VJ; Tormosov, D; Anderson, RC; Baker, AN; Best, PB; Borsa, P; Brownell, RL; Childerhouse, S; Findlay, KP; Gerrodette, T; Ilangakoon, AD; Joergensen, M; Kahn, B; Ljungblad, DK; Maughan, B; McCauley, RD; Mckay, S; Norris, TF; Whale, O; Rankin, S; Samaran, F; Thiele, D; Van Waerebeek, K; Warneke, RM</t>
  </si>
  <si>
    <t>Branch, T. A.; Stafford, K. M.; Palacios, D. M.; Allison, C.; Bannister, J. L.; Burton, C. L. K.; Cabrera, E.; Carlson, C. A.; Vernazzani, B. Galletti; Gill, P. C.; Hucke-Gaete, R.; Jenner, K. C. S.; Jenner, M.-N. M.; Matsuoka, K.; Mikhalev, Y. A.; Miyashita, T.; Morrice, M. G.; Nishiwaki, S.; Sturrock, V. J.; Tormosov, D.; Anderson, R. C.; Baker, A. N.; Best, P. B.; Borsa, P.; Brownell, R. L., Jr.; Childerhouse, S.; Findlay, K. P.; Gerrodette, T.; Ilangakoon, A. D.; Joergensen, M.; Kahn, B.; Ljungblad, D. K.; Maughan, B.; McCauley, R. D.; McKay, S.; Norris, T. F.; Whale, Oman; Rankin, S.; Samaran, F.; Thiele, D.; Van Waerebeek, K.; Warneke, R. M.</t>
  </si>
  <si>
    <t>Dolphin Res Grp</t>
  </si>
  <si>
    <t>Past and present distribution, densities and movements of blue whales Balaenoptera musculus in the Southern Hemisphere and northern Indian Ocean</t>
  </si>
  <si>
    <t>MAMMAL REVIEW</t>
  </si>
  <si>
    <t>Antarctic blue whales; Balaenoptera musculus brevicauda; Balaenoptera musculus indica; Balaenoptera musculus intermedia; distribution; pygmy blue whales; true blue whales; whaling</t>
  </si>
  <si>
    <t>SEA-SURFACE TEMPERATURE; RELATIVE ABUNDANCE; WHALING RECORDS; ICE EXTENT; SATELLITE; VARIABILITY; MADAGASCAR; BOUNDARY; PATTERNS; DECLINE</t>
  </si>
  <si>
    <t>1. Blue whale locations in the Southern Hemisphere and northern Indian Ocean were obtained from catches (303 239), sightings (4383 records of &gt;= 8058 whales), strandings (103), Discovery marks (2191) and recoveries (95), and acoustic recordings. 2. Sighting surveys included 7 480 450 km of effort plus 14 676 days with unmeasured effort. Groups usually consisted of solitary whales (65.2%) or pairs (24.6%); larger feeding aggregations of unassociated individuals were only rarely observed. Sighting rates (groups per 1000 km from many platform types) varied by four orders of magnitude and were lowest in the waters of Brazil, South Africa, the eastern tropical Pacific, Antarctica and South Georgia; higher in the Subantarctic and Peru; and highest around Indonesia, Sri Lanka, Chile, southern Australia and south of Madagascar. 3. Blue whales avoid the oligotrophic central gyres of the Indian, Pacific and Atlantic Oceans, but are more common where phytoplankton densities are high, and where there are dynamic oceanographic processes like upwelling and frontal meandering. 4. Compared with historical catches, the Antarctic ('true') subspecies is exceedingly rare and usually concentrated closer to the summer pack ice. In summer they are found throughout the Antarctic; in winter they migrate to southern Africa (although recent sightings there are rare) and to other northerly locations (based on acoustics), although some overwinter in the Antarctic. 5. Pygmy blue whales are found around the Indian Ocean and from southern Australia to New Zealand. At least four groupings are evident: northern Indian Ocean, from Madagascar to the Subantarctic, Indonesia to western and southern Australia, and from New Zealand northwards to the equator. Sighting rates are typically much higher than for Antarctic blue whales. 6. South-east Pacific blue whales have a discrete distribution and high sighting rates compared with the Antarctic. Further work is needed to clarify their subspecific status given their distinctive genetics, acoustics and length frequencies. 7. Antarctic blue whales numbered 1700 (95% Bayesian interval 860-2900) in 1996 (less than 1% of original levels), but are increasing at 7.3% per annum (95% Bayesian interval 1.4-11.6%). The status of other populations in the Southern Hemisphere and northern Indian Ocean is unknown because few abundance estimates are available, but higher recent sighting rates suggest that they are less depleted than Antarctic blue whales.</t>
  </si>
  <si>
    <t>Univ Cape Town, Marine Res Assessment &amp; Management Grp, Dept Math &amp; Appl Math, ZA-7701 Rondebosch, South Africa; Univ Washington, Appl Phys Lab, Seattle, WA 98105 USA; Univ Hawaii, Joint Inst Marine &amp; Atmospher Res, Honolulu, HI 96822 USA; NOAA Fisheries, SW Fisheries Sci Ctr, Div Environm Res, Pacific Grove, CA 93950 USA; Int Whaling Commiss, Cambridge CB4 9NP, England; Western Australian Museum, Welshpool DC, WA 6986, Australia; CCC, Santiago, Chile; Coll Atlantic, Bar Harbor, ME USA; Australocetus Res, Blue Whale Study, Narrawong, Vic 3285, Australia; Univ Austral Chile, Inst Ecol &amp; Evoluc, Valdivia, Chile; Ctr Whale Res WA Inc, Fremantle, WA 6959, Australia; Inst Cetacean Res, Chuo Ku, Tokyo 1040055, Japan; S Ukrainian Pedag Univ, UA-65009 Odessa, Ukraine; Natl Res Inst Far Seas Fisheries, Cetacean Resources Management Sect, Shizuoka 4248633, Japan; Whale Ecol Grp, Sch Life &amp; Environm Sci, Warrnambool, Vic 3280, Australia; Ulitsa Karla Marksa, Kaliningrad 236000, Russia; S African Museum, MRI Whale Unit, ZA-8000 Cape Town, South Africa; IRD Genet Populat, Noumea 98848, New Caledonia; Dept Conservat, Marine Conservat Unit, Wellington, New Zealand; Univ Cape Town, Oceanog Dept, ZA-7701 Rondebosch, South Africa; US Natl Marine Fisheries Serv, SW Fisheries Sci Ctr, NOAA, La Jolla, CA 92037 USA; APEX Environm, Sanur 80228, Bali, Indonesia; Ljungblad Associates, Elk Mt, WY 82324 USA; Curtin Univ Technol, CMST, Perth, WA 6845, Australia; Deakin Univ, Sch Life &amp; Environm Sci, Whale Ecol Grp, Warrnambool, Vic 3280, Australia; Biowaves Inc, Encinitas, CA 92024 USA; CNRS, Ctr Etud Biol Chize, Villiers en Bois, France; CEPEC, Peruvian Ctr Cetacean Res, Museo Delfines, Pucusana, Peru</t>
  </si>
  <si>
    <t>University of Cape Town; University of Washington; University of Washington Seattle; University of Hawaii System; National Oceanic Atmospheric Admin (NOAA) - USA; Western Australian Museum; Universidad Austral de Chile; Ministry of Education &amp; Science of Ukraine; South Ukrainian National Pedagogical University Named After K. D. Ushynsky; Japan Fisheries Research &amp; Education Agency (FRA); University of Cape Town; National Oceanic Atmospheric Admin (NOAA) - USA; Curtin University; Deakin University; Centre National de la Recherche Scientifique (CNRS)</t>
  </si>
  <si>
    <t>Branch, TA (corresponding author), Univ Washington, Sch Aquat &amp; Fishery Sci, Box 355020, Seattle, WA 98195 USA.</t>
  </si>
  <si>
    <t>tbranch@gmail.com</t>
  </si>
  <si>
    <t>PONNAMPALAM, LOUISA/B-8885-2010; Ilangakoon, Anoukchika/V-7626-2019; Borsa, Philippe/AAC-7915-2019; Branch, Trevor/A-5691-2009; Borsa, Philippe/D-4967-2015; Palacios, Daniel M./B-9180-2008; Gill, Peter/JZT-5482-2024; Findlay, Ken/A-5766-2019</t>
  </si>
  <si>
    <t>Borsa, Philippe/0000-0001-9469-8304; Palacios, Daniel M./0000-0001-7069-7913; Stafford, Kathleen Mary/0000-0003-0039-5025; Findlay, Ken/0000-0001-7154-8805; Morrice, Margie/0000-0001-6903-4565; Hucke-Gaete, Rodrigo/0000-0003-3515-9145; Rankin, Shannon/0000-0002-8405-5169</t>
  </si>
  <si>
    <t>0305-1838</t>
  </si>
  <si>
    <t>1365-2907</t>
  </si>
  <si>
    <t>MAMMAL REV</t>
  </si>
  <si>
    <t>Mammal Rev.</t>
  </si>
  <si>
    <t>10.1111/j.1365-2907.2007.00106.x</t>
  </si>
  <si>
    <t>178NR</t>
  </si>
  <si>
    <t>WOS:000247227900002</t>
  </si>
  <si>
    <t>Wlodarska-Kowalczuk, M; Sicinski, J; Gromisz, S; Kendall, MA; Dahle, S</t>
  </si>
  <si>
    <t>Wlodarska-Kowalczuk, Maria; Sicinski, Jacek; Gromisz, Slawomira; Kendall, Michael A.; Dahle, Salve</t>
  </si>
  <si>
    <t>Similar soft-bottom polychaete diversity in Arctic and Antarctic marine inlets</t>
  </si>
  <si>
    <t>KING-GEORGE-ISLAND; BENTHIC FAUNA; SPECIES-DIVERSITY; ADMIRALTY BAY; SEA; BIODIVERSITY; COMMUNITIES; DISTRIBUTIONS; KONGSFJORDEN; ASSOCIATIONS</t>
  </si>
  <si>
    <t>The diversity of soft-bottom polychaete assemblages in one Antarctic (Admiralty Bay) and two Arctic (Kongsfjord and van Mijenfjord) localities was compared. The data sets included 79 (Admiralty Bay), 80 (Kongsfjord) and 44 (van Mijenfjord) samples collected with use of 0.1 m(2) van Veen grab. The number of species per sample in Kongsfjord (mean 19.9 +/- 8.0 SD) was higher than that in Van Mijenfjord (13.7 +/- 8.3) or Admiralty Bay (15.7 +/- 9.4). The differences in species numbers reflected differences in numbers of individuals in samples: 310.4 ind/0.1 m(2) +/- 178.0 in Kongsfjord, 132.7 ind/0.1 m(2) +/- 88.7 in Van Mijenfjord and 138.9 ind/0.1 m(2) +/- 91.5 in Admiralty Bay. The Hurlbert diversity for 50 individuals (ES ([50])) was similar at all sites: 10.7 +/- 3.4 in Kongsfjord, 9.7 +/- 4.2 in van Mijenfjord, 10.5 +/- 4.9 in Admiralty Bay. The shape of species accumulation curves was also similar for all localities. There was no significant difference (at P &lt; 0.05) either in the total number of species or in species richness as estimated by Chao1 and Chao2 estimators. The generic and family richness at three sites was also similar. We found no substantial differences in the distribution of species among families. At both poles Terebellidae, Ampharetidae, Maldanidae, Spionidae and Polynoidae were dominant in terms of species numbers. The similarity of infaunal polychaete diversity at the polar sites studied contrasts with the substantial differences reported for epi-megafauna. Our study suggests that the patterns of diversity of polar benthic communities are shaped by patterns of habitat heterogeneity which appears to mask any historical processes.</t>
  </si>
  <si>
    <t>Polish Acad Sci, Inst Oceanol, PL-81712 Sopot, Poland; Univ Lodz, Dept Polar Biol &amp; Oceanol, PL-90237 Lodz, Poland; Sea Fisheries Res Inst, PL-81332 Gdynia, Poland; Plymouth Marine Lab, Plymouth PL1 3DH, Devon, England; Akvaplan Niva AS, Polar Environm Ctr, N-9296 Tromso, Norway</t>
  </si>
  <si>
    <t>Polish Academy of Sciences; Institute of Oceanology of the Polish Academy of Sciences; University of Lodz; Plymouth Marine Laboratory; Akvaplan-niva</t>
  </si>
  <si>
    <t>Wlodarska-Kowalczuk, M (corresponding author), Polish Acad Sci, Inst Oceanol, Powstancow Warszawy 55, PL-81712 Sopot, Poland.</t>
  </si>
  <si>
    <t>maria@iopan.gda.pl</t>
  </si>
  <si>
    <t>Sicinski, Jacek/P-2033-2017; Wlodarska-kowalczuk, Maria/K-4325-2012</t>
  </si>
  <si>
    <t>Sicinski, Jacek/0000-0002-5235-3188</t>
  </si>
  <si>
    <t>NERC [pml010001] Funding Source: UKRI; Natural Environment Research Council [pml010001] Funding Source: researchfish</t>
  </si>
  <si>
    <t>10.1007/s00227-006-0496-9</t>
  </si>
  <si>
    <t>149CX</t>
  </si>
  <si>
    <t>WOS:000245125400017</t>
  </si>
  <si>
    <t>Ainley, DG; Dugger, KM; Toniolo, V; Gaffney, I</t>
  </si>
  <si>
    <t>Ainley, David G.; Dugger, Katie M.; Toniolo, Viola; Gaffney, Ian</t>
  </si>
  <si>
    <t>RETRACTED: Cetacean occurrence patterns in the Amundsen and southern Bellingshausen sea sector, Southern Ocean (Retracted Article)</t>
  </si>
  <si>
    <t>Article; Retracted Publication</t>
  </si>
  <si>
    <t>Amundsen Sea; Bellingshausen Sea; cetacean abundance; cetacean ecology; marginal ice zone; killer whale; Orcinas orca; minke whale; Balaenoptera bonaerensir; polynya; sea ice; Southern Ocean</t>
  </si>
  <si>
    <t>ROSS SEA; MARINE MAMMALS; ICE; VARIABILITY; ANTARCTICA; CLIMATE; WHALES; PENGUINS; SEABIRDS; WEDDELL</t>
  </si>
  <si>
    <t>We conducted 239.5 h and 3,494 km of cetacean surveys in the Amundsen and Bellingshausen seas, from 15 February to 31 March 1994; most of the area, the large portion of which was ice covered, had never before nor has it since been surveyed for cetaceans, even to the date when this paper was prepared (2006). Logistic regression and an information-theoretic approach related the occurrence of Antarctic minke whales Balaenoptera bonaerensis (the most abundant species) to whether we were in open- or pack-ice-covered pelagic or neritic waters, in or out of the marginal ice zone (MIZ), and north or south of the Antarctic Circumpolar Current southern boundary. Other variables included date and distance to the MIZ and shelfbreak front. Statistical analysis showed that the probability of sighting a minke, as well as killer whale-but not the case for an index to whale density-was related to the proximity of coastal polynyas in early autumn, switching offshore to the MIZ once waters within the pack began to freeze persistently later in the season. Probability of detection was higher with distance into the MIZ. Supporting these findings, the density index was strongly related to ice concentration in an inverse relationship. The strong relationship to polynyas and the MIZ indicate that sea-ice divergence altered by decadal or longer-term climate change, as described in the recent literature, could well affect any apparent, long-term trends evident in this species' abundance if surveyed only in open or near-to-ice waters. We speculate on how the minke whale's pagophilic nature (1) could have been encouraged by large-scale industrial whaling and by competition with species more characteristic of open waters and the outer MIZ, and (2) may have protected the population somewhat during industrial whaling resulting in the much greater abundance of this species now compared to other targeted species.</t>
  </si>
  <si>
    <t>HT Harvey &amp; Associates, San Jose, CA 95118 USA; Oregon State Univ, Dept Fisheries &amp; Wildlife, Corvallis, OR 97331 USA; PRBO Conservat Sci, Stinson Beach, CA 94970 USA</t>
  </si>
  <si>
    <t>Ainley, DG (corresponding author), HT Harvey &amp; Associates, 3150 Almaden Expressway,Suite 145, San Jose, CA 95118 USA.</t>
  </si>
  <si>
    <t>dainley@penguinscience.com</t>
  </si>
  <si>
    <t>10.1111/j.1748-7692.2007.00109.x</t>
  </si>
  <si>
    <t>154ZF</t>
  </si>
  <si>
    <t>WOS:000245546600004</t>
  </si>
  <si>
    <t>Metals regulation mechanisms may be breaking down in the Antarctic</t>
  </si>
  <si>
    <t>162FY</t>
  </si>
  <si>
    <t>WOS:000246073400003</t>
  </si>
  <si>
    <t>Powell, SM; Harvey, PM; Stark, JS; Snape, I; Riddle, MJ</t>
  </si>
  <si>
    <t>Powell, Shane M.; Harvey, Paul McA.; Stark, Jonathan S.; Snape, Ian; Riddle, Martin J.</t>
  </si>
  <si>
    <t>Biodegradation of petroleum products in experimental plots in Antarctic marine sediments is location dependent</t>
  </si>
  <si>
    <t>special antarctic blend diesel; biodegradation indices; hydrocarbon; Antarctica; Casey Station</t>
  </si>
  <si>
    <t>MICROBIAL COMMUNITY; CRUDE-OIL; HYDROCARBONS; DEGRADATION; ASSEMBLAGES; SPILLS; FUEL</t>
  </si>
  <si>
    <t>Clean sediment collected from O'Brien Bay, East Antarctica, was artificially contaminated with a mix of Special Antarctic Blend diesel fuel and lubricating oil and deployed in two uncontaminated locations (O'Brien and Sparkes Bays) and a previously contaminated bay (Brown Bay) to evaluate whether a history of prior contamination would influence the biodegradation process. Detailed analysis of the hydrocarbon composition in the sediment after I I weeks revealed different patterns of degradation in each bay. Biodegradation indices showed that hydrocarbon biodegradation occurred in all three bays but was most extensive in Brown Bay. This study shows that even within a relatively small geographical area, the longevity of hydrocarbons in Antarctic marine sediments can be variable. Our results are consistent with faster natural attenuation of spilt oil at sites with previous exposure to oil but further work is needed to confirm this. Such information would be useful when evaluating the true risk and longevity of oils spills. Crown Copyright (c) 2006 Published by Elsevier Ltd. All rights reserved.</t>
  </si>
  <si>
    <t>Australian Antarctic Div, Dept Environm &amp; Heritage, Kingston, Tas 7050, Australia</t>
  </si>
  <si>
    <t>Powell, SM (corresponding author), Australian Antarctic Div, Dept Environm &amp; Heritage, 203 Channel Highway, Kingston, Tas 7050, Australia.</t>
  </si>
  <si>
    <t>shane.powell@aad.gov.au</t>
  </si>
  <si>
    <t>Powell, Shane M/C-2391-2014; Stark, Jonathan/ABF-4025-2020</t>
  </si>
  <si>
    <t>Stark, Jonathan/0000-0002-4268-8072; Powell, Shane/0000-0001-5082-1630</t>
  </si>
  <si>
    <t>10.1016/j.marpolbul.2006.11.018</t>
  </si>
  <si>
    <t>WOS:000246073400018</t>
  </si>
  <si>
    <t>Pastene, LA; Goto, M; Kanda, N; Zerbini, AN; Kerem, D; Watanabe, K; Bessho, Y; Hasegawa, M; Nielsen, R; Larsen, F; Palsboll, PJ</t>
  </si>
  <si>
    <t>Pastene, Luis A.; Goto, Mutsuo; Kanda, Naohisa; Zerbini, Alexandre N.; Kerem, Dan; Watanabe, Kazuo; Bessho, Yoshitaka; Hasegawa, Masami; Nielsen, Rasmus; Larsen, Finn; Palsboll, Per J.</t>
  </si>
  <si>
    <t>Radiation and speciation of pelagic organisms during periods of global warming:: the case of the common minke whale, Balaenoptera acutorostrata</t>
  </si>
  <si>
    <t>Cetacea; evolution; expansion; global warming; phylogeography; speciation</t>
  </si>
  <si>
    <t>MITOCHONDRIAL-DNA SEQUENCES; MAXIMUM-LIKELIHOOD; NORTH-ATLANTIC; CONTROL REGION; EVOLUTION; MIGRATION; MODEL; DIVERGENCE; SUBDIVISION; CIRCULATION</t>
  </si>
  <si>
    <t>How do populations of highly mobile species inhabiting open environments become reproductively isolated and evolve into new species? We test the hypothesis that elevated ocean-surface temperatures can facilitate allopatry among pelagic populations and thus promote speciation. Oceanographic modelling has shown that increasing surface temperatures cause localization and reduction of upwelling, leading to fragmentation of feeding areas critical to pelagic species. We test our hypothesis by genetic analyses of populations of two closely related baleen whales, the Antarctic minke whale (Balaenoptera bonaerensis) and common minke whale (Balaenoptera acutorostrata) whose current distributions and migration patterns extent are largely determined by areas of consistent upwelling with high primary production. Phylogeographic and population genetic analyses of mitochondrial DNA control-region nucleotide sequences collected from 467 whales sampled in four different ocean basins were employed to infer the evolutionary relationship among populations of B. acutorostrata by rooting an intraspecific phylogeny with a population of B. bonaerensis. Our findings suggest that the two species diverged in the Southern Hemisphere less than 5 million years ago (Ma). This estimate places the speciation event during a period of extended global warming in the Pliocene. We propose that elevated ocean temperatures in the period facilitated allopatric speciation by disrupting the continuous belt of upwelling maintained by the Antarctic Circumpolar Current. Our analyses revealed that the current populations of B. acutorostrata likely diverged after the Pliocene some 1.5 Ma when global temperatures had decreased and presumably coinciding with the re-establishment of the polar-equatorial temperature gradient that ultimately drives upwelling. In most population samples, we detected genetic signatures of exponential population expansions, consistent with the notion of increasing carrying capacity after the Pliocene. Our hypothesis that prolonged periods of global warming facilitate speciation in pelagic marine species that depend on upwelling should be tested by comparative analyses in other pelagic species.</t>
  </si>
  <si>
    <t>Inst Cetacean Res, Chuo Ku, Tokyo 1040055, Japan; Univ Washington, Sch Aquat &amp; Fishery Sci, Seattle, WA 98195 USA; Univ Haifa, Recanati Inst Maritime Studies, IL-31905 Haifa, Israel; Univ Texas, Inst Mol &amp; Cellular Biol, Austin, TX 78712 USA; RIKEN GSC, Yokohama, Kanagawa 2300045, Japan; Inst Stat Math, Tokyo 1068569, Japan; Grad Univ Adv Studies, Dept Biosyst Sci, Yokohama, Kanagawa 2400193, Japan; Univ Copenhagen, Bioinformat Ctr, Copenhagen O, Denmark; Cornell Univ, Dept Biometr, Ithaca, NY 14853 USA; Danish Inst Fisheries Res, DK-2920 Charlottenlund, Denmark; Stockholm Univ, Dept Genet Microbiol &amp; Toxicol, S-10691 Stockholm, Sweden</t>
  </si>
  <si>
    <t>University of Washington; University of Washington Seattle; University of Haifa; University of Texas System; University of Texas Austin; RIKEN; Research Organization of Information &amp; Systems (ROIS); Institute of Statistical Mathematics (ISM) - Japan; Graduate University for Advanced Studies - Japan; University of Copenhagen; Cornell University; Stockholm University</t>
  </si>
  <si>
    <t>Pastene, LA (corresponding author), Inst Cetacean Res, Chuo Ku, 4-5 Toyomi Cho, Tokyo 1040055, Japan.</t>
  </si>
  <si>
    <t>pastene@cetacean.jp</t>
  </si>
  <si>
    <t>Zerbini, Alexandre/G-4138-2012; Palsbøll, Per J/L-3494-2013; Zerbini, Alexandre/ABH-3916-2020; Bessho, Yoshitaka/K-7702-2012; Nielsen, Rasmus/D-4405-2009; Palsboll, Per Jakob/G-6988-2011</t>
  </si>
  <si>
    <t>Zerbini, Alexandre/0000-0002-9776-6605; Bessho, Yoshitaka/0000-0001-9297-7473; Nielsen, Rasmus/0000-0003-0513-6591; Larsen, Finn/0000-0001-6498-9012; Palsboll, Per Jakob/0000-0002-4198-7599</t>
  </si>
  <si>
    <t>10.1111/j.1365-294X.2007.03244.x</t>
  </si>
  <si>
    <t>149QW</t>
  </si>
  <si>
    <t>WOS:000245162700014</t>
  </si>
  <si>
    <t>Hadley, GL; Rotella, JJ; Garrott, RA</t>
  </si>
  <si>
    <t>Hadley, Gillian L.; Rotella, Jay J.; Garrott, Robert A.</t>
  </si>
  <si>
    <t>Influence of maternal characteristics and oceanographic conditions on survival and recruitment probabilities of Weddell seals</t>
  </si>
  <si>
    <t>LIFE-HISTORY CONSEQUENCES; SOUTHERN ELEPHANT SEALS; ANTARCTIC FUR SEALS; LESSER SNOW GEESE; MCMURDO-SOUND; LEPTONYCHOTES-WEDDELLII; REPRODUCTIVE SUCCESS; POPULATION-DYNAMICS; BODY-SIZE; INTERANNUAL VARIATION</t>
  </si>
  <si>
    <t>For long-lived animals, maternal age and breeding experience can vary widely and affect offspring survival and recruitment probabilities. In addition, these vital rates may be influenced by annual variation in environmental conditions. We evaluated various hypotheses regarding how offspring survival and recruitment probabilities vary as functions of maternal characteristics and oceanographic conditions, using 25 years of data from a study of individually-marked Weddell seals in Erebus Bay, Antarctica. We predicted that survival and recruitment would be positively related to maternal age and experience up to some threshold value and considered three hypothesized shapes for the relationship beyond the threshold age (steadily increasing, pseudo-threshold, or decreasing). We predicted an inverse relationship between maternal age at first reproduction and offspring survival and recruitment probabilities. We predicted that sea-ice extent, which positively influences primary productivity, would be positively related to annual recruitment probabilities. Results revealed contrasting influences of maternal age on probabilities of survival and recruitment of young. Survival rate was best modeled by a pseudo-threshold relationship with maternal age, e.g. in 1999, survival rate was estimated as 0.61, 0.69 and 0.72, respectively, for seals born to 6-, 14- and 22-yr-old mothers. In contrast, estimated recruitment probability was highest for seals born to young mothers, e.g. recruitment probability for a 7-yr-old who had not yet had a pup was estimated as 0.51 vs 0.30, respectively, if she was born to a 6- versus a 14-yr-old mother. The combined results for offspring survival and recruitment suggest countervailing selection where genotypes favored for reproductive success are generally selected against as juveniles, resulting in high recruitment probabilities for individuals that had low juvenile survival rates. Finally, we found support for our prediction that oceanographic conditions affected annual recruitment rates, but not survival rates. Specifically, annual recruitment probability was positively related to the sea-ice extent in September of the previous year.</t>
  </si>
  <si>
    <t>Montana State Univ, Dept Ecol, Bozeman, MT 59717 USA</t>
  </si>
  <si>
    <t>Montana State University System; Montana State University Bozeman</t>
  </si>
  <si>
    <t>Hadley, GL (corresponding author), Montana State Univ, Dept Ecol, Bozeman, MT 59717 USA.</t>
  </si>
  <si>
    <t>gillian.hadley@gmail.com</t>
  </si>
  <si>
    <t>Rotella, Jay/0000-0001-7014-7524</t>
  </si>
  <si>
    <t>10.1111/j.2007.0030-1299.15528.x</t>
  </si>
  <si>
    <t>151TK</t>
  </si>
  <si>
    <t>WOS:000245313500007</t>
  </si>
  <si>
    <t>Lorenz, KA; Nazarov, MA; Kurat, G; Brandstaetter, F; Ntaflos, T</t>
  </si>
  <si>
    <t>Lorenz, K. A.; Nazarov, M. A.; Kurat, G.; Brandstaetter, F.; Ntaflos, Th.</t>
  </si>
  <si>
    <t>Foreign meteoritic material of howardites and polymict eucrites</t>
  </si>
  <si>
    <t>PETROLOGY</t>
  </si>
  <si>
    <t>ANTARCTIC MICROMETEORITES; BHOLGHATI HOWARDITE; KAPOETA HOWARDITE; JODZIE HOWARDITE; TRACE-ELEMENTS; PARENT BODY; DIOGENITES; MINERALOGY; ORIGIN; VESTA</t>
  </si>
  <si>
    <t>Howardites and polymict eucrites are fragments of regolith breccias ejected from the surface of a differentiated (eucritic) parent body, perhaps, of the asteroid Vesta. The first data are presented demonstrating that howardites contain, along with foreign fragments of carbonaceous chondrites, also fragments of ordinary chondrites, enstatite meteorites, ureilites, and mesosiderites. The proportions of these types of foreign meteoritic fragments in howardites and polymict eucrites are the same as in the population of cosmic dust particles obtained from Antarctic and Greenland ice. The concentrations of siderophile elements in howardites and polymict eucrites are not correlated with the contents of foreign meteoritic particles. It is reasonable to believe that cosmogenic siderophile elements are concentrated in howardites and polymict eucrites mostly in submicrometer-sized particles that cannot be examined mineralogically. The analysis of the crater population of the asteroid Vesta indicates that the flux of chondritic material to the surface of this asteroid should have been three orders of magnitude higher than the modern meteoritic flux and have been comparable with the flux to the moon's surface during its intense meteoritic bombardment. This provides support for the earlier idea about a higher meteoritic activity in the solar system as a whole at approximately 4 Ga. The lithification of the regolith (into regolith breccia) of the asteroid Vesta occurred then under the effect of thermal metamorphism in the blanket of crater ejecta. Thus, meteorite fragments included in howardites provide record of the qualitative composition of the ancient meteorite flux, which was analogous to that of the modern flux at the Earth surface.</t>
  </si>
  <si>
    <t>Russian Acad Sci, Vernadsky Inst Geochem &amp; Analyt Chem, Moscow 119991, Russia; Museum Hist Nat, A-1014 Vienna, Austria; Univ Vienna, Dept Lithospharenforsch, A-1090 Vienna, Austria</t>
  </si>
  <si>
    <t>Russian Academy of Sciences; Vernadsky Institute of Geochemistry &amp; Analytical Chemistry; University of Vienna</t>
  </si>
  <si>
    <t>Lorenz, KA (corresponding author), Russian Acad Sci, Vernadsky Inst Geochem &amp; Analyt Chem, Ul Kosygina 19, Moscow 119991, Russia.</t>
  </si>
  <si>
    <t>nazarov@geokhi.ru; gero.kurat@univie.ac.at; franz.brandstaetter@nhm-wien.ac.at; theodoros.ntaflos@univie.ac.at</t>
  </si>
  <si>
    <t>0869-5911</t>
  </si>
  <si>
    <t>PETROLOGY+</t>
  </si>
  <si>
    <t>Petrology</t>
  </si>
  <si>
    <t>10.1134/S0869591107020014</t>
  </si>
  <si>
    <t>Geochemistry &amp; Geophysics; Mineralogy</t>
  </si>
  <si>
    <t>146SC</t>
  </si>
  <si>
    <t>WOS:000244954000001</t>
  </si>
  <si>
    <t>Schorghofer, N</t>
  </si>
  <si>
    <t>Schorghofer, Norbert</t>
  </si>
  <si>
    <t>Theory of ground ice stability in sublimation environments</t>
  </si>
  <si>
    <t>PHYSICAL REVIEW E</t>
  </si>
  <si>
    <t>BEACON VALLEY; NEAR-SURFACE; MARS; ANTARCTICA; WATER; BEHAVIOR; CYCLE</t>
  </si>
  <si>
    <t>Permanently stable ground ice is found beneath a permanently frost free surface on Mars, and similar conditions exist in the Antarctic Dry Valleys. This phenomenon is due to a balance of the vapor pressure of the ice with the atmospheric humidity in the presence of large amplitude temperature oscillations. An exactly solvable model example shows that the fraction of time the atmosphere needs to be saturated to stabilize the ice decreases with temperature amplitude. It is estimated that for conditions that prevail on Mars today, the mean temperature needs to be about 5 K lower than the frost point temperature for ground ice to be stable. A decomposition method to evaluate the contribution of short term weather events to ground ice stability is developed; when applied to a study site in the Dry Valleys, it reveals that the coldest periods contribute most to stabilization.</t>
  </si>
  <si>
    <t>Univ Hawaii, Inst Astron, Honolulu, HI 96826 USA</t>
  </si>
  <si>
    <t>Schorghofer, N (corresponding author), Univ Hawaii, Inst Astron, 2680 Woodlawn Dr, Honolulu, HI 96826 USA.</t>
  </si>
  <si>
    <t>norbert@hawaii.edu</t>
  </si>
  <si>
    <t>Schorghofer, Norbert/A-1194-2007</t>
  </si>
  <si>
    <t>Schorghofer, Norbert/0000-0002-5821-4066</t>
  </si>
  <si>
    <t>AMER PHYSICAL SOC</t>
  </si>
  <si>
    <t>COLLEGE PK</t>
  </si>
  <si>
    <t>ONE PHYSICS ELLIPSE, COLLEGE PK, MD 20740-3844 USA</t>
  </si>
  <si>
    <t>1539-3755</t>
  </si>
  <si>
    <t>1550-2376</t>
  </si>
  <si>
    <t>PHYS REV E</t>
  </si>
  <si>
    <t>Phys. Rev. E</t>
  </si>
  <si>
    <t>10.1103/PhysRevE.75.041201</t>
  </si>
  <si>
    <t>Physics, Fluids &amp; Plasmas; Physics, Mathematical</t>
  </si>
  <si>
    <t>162GD</t>
  </si>
  <si>
    <t>WOS:000246073900042</t>
  </si>
  <si>
    <t>Verde, C; Lecointre, G; di Prisco, G</t>
  </si>
  <si>
    <t>Verde, Cinzia; Lecointre, Guillaume; di Prisco, Guido</t>
  </si>
  <si>
    <t>The phylogeny of polar fishes and the structure, function and molecular evolution of hemoglobin</t>
  </si>
  <si>
    <t>ANTARCTIC NOTOTHENIOID FISHES; DISTINCT HEMOGLOBINS; CRYSTAL-STRUCTURE; OXYGEN SECRETION; LIGAND-BINDING; MITOCHONDRIAL; PATTERNS; TELEOST; BLOOD; GENE</t>
  </si>
  <si>
    <t>Fishes thriving in polar habitats offer many opportunities for comparative approaches to understanding protein thermal adaptations. Investigations on the remarkable evolutionary adaptations to these environments of basic proteins such as hemoglobin, the oxygen carrier, can provide new insights into the mechanisms studied in temperate organisms and can shed light on convergent processes evolved in response to thermal adaptations. At the molecular level, hemoglobins are one of the most intriguing systems for studying the relationships between environmental conditions and adaptations. This review summarizes the current knowledge on molecular structure, biological function and phylogeny of hemoglobins of fish species living in both polar habitats but having different evolutionary histories. In benthic, non-migratory, cold-adapted fishes, the stability of thermal conditions may have generated no or few variations in selective pressures on globin sequences through evolutionary time, so that sequences retain the species phylogenetic signal. In pelagic, migratory, cold-adapted or temperate fishes, variations in selective pressures on globin sequences caused by variations in temperature accompanying the dynamic life style may have disrupted the phylogenetic signal in phenetic trees.</t>
  </si>
  <si>
    <t>CNR, Inst Prot Biochem, I-80131 Naples, Italy; CNRS, Museum Natl Hist Nat, Dept Systemat &amp; Evolut, UMR 7138, F-75005 Paris, France</t>
  </si>
  <si>
    <t>Consiglio Nazionale delle Ricerche (CNR); Istituto di Biochimica delle Proteine (IBP-CNR); Centre National de la Recherche Scientifique (CNRS); CNRS - National Institute for Biology (INSB); Sorbonne Universite; Museum National d'Histoire Naturelle (MNHN)</t>
  </si>
  <si>
    <t>di Prisco, G (corresponding author), CNR, Inst Prot Biochem, Via Pietro Castellino 111, I-80131 Naples, Italy.</t>
  </si>
  <si>
    <t>g.diprisco@ibp.cnr.it</t>
  </si>
  <si>
    <t>VERDE, Cinzia/0000-0001-6185-282X</t>
  </si>
  <si>
    <t>10.1007/s00300-006-0217-3</t>
  </si>
  <si>
    <t>143VA</t>
  </si>
  <si>
    <t>WOS:000244753300001</t>
  </si>
  <si>
    <t>Böer, M; Graeve, M; Kattner, G</t>
  </si>
  <si>
    <t>Boer, Marco; Graeve, Martin; Kattner, Gerhard</t>
  </si>
  <si>
    <t>Exceptional long-term starvation ability and sites of lipid storage of the Arctic pteropod Clione limacina</t>
  </si>
  <si>
    <t>Clione limacina; Arctic; starvation experiment; lipid storage; digestive gland; lipid droplets</t>
  </si>
  <si>
    <t>ANTARCTIC KRILL; MARINE ZOOPLANKTON; EUPHAUSIA-SUPERBA; SOUTHERN-OCEAN; LIFE-STRATEGY; FATTY-ACIDS; GROWTH; METABOLISM; SHRINKAGE; MOLLUSK</t>
  </si>
  <si>
    <t>The Arctic pteropod Clione limacina was collected in Kongsfjorden, Svalbard, in mid June 2004, to study the lipid metabolism within the sites of lipid storage structures during long-term starvation. Animals survived in an aquarium without any food for nearly 1 year (356 days). Size, number of lipid droplets, dry and lipid mass, lipid class and fatty acid compositions of C. limacina were determined and separately analysed for the digestive gland and the remaining integument. During the starvation period, animals shrunk from 22.4 to 12 mm in length on average, and the number of lipid droplets decreased from 1,600 to 1,000 per animal. Dry mass (DM) and total lipid mass both dropped by about 80% from day 200 to the end. The lipid content as percentage DM of the total organism did not decrease significantly ranging from 43.8 to 32.3%DM. The lipid content of the trunk was moderate with about 20%DM. The digestive gland was very rich in lipids with more than 70%DM throughout the experiment and is the major site of lipid metabolism and storage. Triacylglycerols (TAG) decreased, in the total organism, from high initial levels of 62.6 to 43% of total lipid at the end. In contrast, the proportions of 1-O-alkyldiacylglycerols [diacylglycerol ethers (DAGE)] remained almost constant, varying between 20.4 and 28.4%. In the digestive gland, TAG ranged from 60.3 to 64.8% and DAGE from 23.6 to 32.2% from day 200 to the end of the experiment. TAG and DAGE of the trunk were most likely located in the lipid droplets and were almost depleted at the end of starvation. Besides their function as lipid deposit DAGE may also act as protecting substance against bacterial and fungal infections. During the first 200 days of starvation, the fatty acid compositions showed only small variations. Thereafter, fatty acids typical for storage lipids decreased in all body compartments. In adaptation to long periods of food scarcity, C. limacina has evolved various strategies as body shrinkage, utilisation of body constituents not essential for survival, a very low metabolism and slow lipid consumption.</t>
  </si>
  <si>
    <t>Alfred Wegener Inst Polar &amp; Marine Res, D-27570 Bremerhaven, Germany</t>
  </si>
  <si>
    <t>Kattner, G (corresponding author), Alfred Wegener Inst Polar &amp; Marine Res, Am Handelshafen 12, D-27570 Bremerhaven, Germany.</t>
  </si>
  <si>
    <t>gkattner@awi-bremerhaven.de</t>
  </si>
  <si>
    <t>Graeve, Martin/B-5751-2017</t>
  </si>
  <si>
    <t>Graeve, Martin/0000-0002-2294-1915</t>
  </si>
  <si>
    <t>10.1007/s00300-006-0214-6</t>
  </si>
  <si>
    <t>WOS:000244753300005</t>
  </si>
  <si>
    <t>Mincks, SL; Smith, CR</t>
  </si>
  <si>
    <t>Mincks, Sarah L.; Smith, Craig R.</t>
  </si>
  <si>
    <t>Recruitment patterns in Antarctic Peninsula shelf sediments: evidence of decoupling from seasonal phytodetritus pulses</t>
  </si>
  <si>
    <t>recruitment; food bank; Antarctic continental shelf; benthos; phytodetritus; polychaetes</t>
  </si>
  <si>
    <t>BENTHIC MARINE-INVERTEBRATES; LARVAL DEVELOPMENT; ORGANIC-MATTER; REPRODUCTION; METABOLISM; COLONIZATION; POLYCHAETA; DELTA-C-13; RESPONSES; MODES</t>
  </si>
  <si>
    <t>Summer phytoplankton blooms on the West Antarctic Peninsula (WAP) shelf result in episodic deposition of labile food material for benthic detritivores. This summer deposition is thought to enhance benthic recruitment of macro- and megafauna. To explore seasonality in benthic recruitment, juvenile invertebrates (&gt; 100 mu m) were collected in a seasonal time series at three stations on the WAP continental shelf. 4,098 juveniles were collected (average densities 2,000-7,000 m(-2)), with polychaetes dominant (2,581 individuals). The majority of polychaetes showed evidence of enhanced recruitment prior to the summer bloom, although patterns varied across stations. Additional taxa showed recruitment peaks in summer, but again, patterns varied among stations. Based on observed patterns, polychaete taxa are classified as seasonal, marginally seasonal, and non-seasonal recruiters, with the latter two patterns predominating. The year-round presence of small juveniles in most taxa suggests that recruitment occurs continuously, with periodic enhancement. Year-round recruitment is consistent with the presence of a persistent food bank of labile organic material in WAP shelf sediments, allowing recruitment to be largely decoupled from seasonal bloom dynamics.</t>
  </si>
  <si>
    <t>Nat Hist Museum, Zool Dept, London SW7 5BD, England; Univ Hawaii, Dept Oceanog, Honolulu, HI 96822 USA</t>
  </si>
  <si>
    <t>Natural History Museum London; University of Hawaii System</t>
  </si>
  <si>
    <t>Mincks, SL (corresponding author), Nat Hist Museum, Zool Dept, Cromwell Rd, London SW7 5BD, England.</t>
  </si>
  <si>
    <t>s.mincks@nhm.ac.uk</t>
  </si>
  <si>
    <t>Mincks, Sarah/0000-0002-3328-712X</t>
  </si>
  <si>
    <t>10.1007/s00300-006-0216-4</t>
  </si>
  <si>
    <t>WOS:000244753300007</t>
  </si>
  <si>
    <t>Ghigliotti, L; Mazzei, F; Ozouf-Costaz, C; Bonillo, C; Williams, R; Cheng, CHC; Pisano, E</t>
  </si>
  <si>
    <t>Ghigliotti, L.; Mazzei, F.; Ozouf-Costaz, C.; Bonillo, C.; Williams, R.; Cheng, C. -H. C.; Pisano, E.</t>
  </si>
  <si>
    <t>The two giant sister species of the Southern Ocean, Dissostichus eleginoides and Dissostichus mawsoni, differ in karyotype and chromosomal pattern of ribosomal RNA genes</t>
  </si>
  <si>
    <t>Antarctica; chromosomes; dissostichus; ribosomal genes; toothfish</t>
  </si>
  <si>
    <t>RDNA INTERGENIC SPACER; PATAGONIAN TOOTHFISH; ANTARCTIC TOOTHFISH; NOTOTHENIOID FISHES; DNA; HYPERVARIABILITY; LOCALIZATION; PERCIFORMES; EVOLUTION; SEQUENCES</t>
  </si>
  <si>
    <t>The two giant notothenioid species, the Patagonian toothfish Dissostichus eleginoides and the Antarctic toothfish D. mawsoni, are important components of the Antarctic ichthyofauna and heavily exploited commercially. They have similar appearance and size, both are piscivorous and bentho-pelagic, but differ in their geographic distribution and absence/presence of the antifreeze trait. We karyotyped these two sister species by analyzing specimens collected from multiple Antarctic and sub-Antarctic sites. Both species have a diploid number of 48, but differ in karyotypic formula, (2m + 2sm + 44a) for D. eleginoides and (2m + 4sm + 42a) for D. mawsoni, due to an extra pair of submetacentric chromosomes in the latter. Chromosomal fluorescence in situ hybridization with rDNA probes revealed unexpected species-specific organization of rRNA genes; D. mawsoni possesses two rDNA loci (versus one locus in D. eleginoides), with the second locus mapping to its additional submetacentric chromosome. The additional rRNA genes in D. mawsoni may be a cold-adaptive compensatory mechanism for growth and development of this large species in freezing seawater.</t>
  </si>
  <si>
    <t>Univ Genoa, Dept Biol, I-166132 Genoa, Italy; Museum Natl Hist Nat, CNRS, UMR 7138, Dept Systemat &amp; Evolut, F-75005 Paris, France; Channel Highway, Antarct Div, Kingston, Tas 7050, Australia; Univ Illinois, Dept Anim Biol, Urbana, IL 61801 USA</t>
  </si>
  <si>
    <t>University of Genoa; Sorbonne Universite; Museum National d'Histoire Naturelle (MNHN); Centre National de la Recherche Scientifique (CNRS); CNRS - National Institute for Biology (INSB); Australian Antarctic Division; University of Illinois System; University of Illinois Urbana-Champaign</t>
  </si>
  <si>
    <t>Pisano, E (corresponding author), Univ Genoa, Dept Biol, Viale Benedetto 15 5, I-166132 Genoa, Italy.</t>
  </si>
  <si>
    <t>Ghigliotti, Laura/AAN-6843-2021; Ghigliotti, Laura/J-3076-2012</t>
  </si>
  <si>
    <t>10.1007/s00300-006-0222-6</t>
  </si>
  <si>
    <t>WOS:000244753300011</t>
  </si>
  <si>
    <t>Sander, M; Balbao, TC; Polito, MJ; Costa, ES; Carneiro, APB</t>
  </si>
  <si>
    <t>Sander, Martin; Balbao, Tatiana Coelho; Polito, Michael John; Costa, Erli Schneider; Carneiro, Ana Paula Bertoldi</t>
  </si>
  <si>
    <t>Recent decrease in chinstrap penguin (Pygoscelis antarctica) populations at two of Admiralty Bay's islets on King George Island, South Shetland Islands, Antarctica</t>
  </si>
  <si>
    <t>chinstrap penguin; chinstrap populations; Antarctic birds</t>
  </si>
  <si>
    <t>REPRODUCTIVE SUCCESS; ENVIRONMENTAL-CHANGE; ORKNEY ISLANDS; CLIMATE-CHANGE; LAURIE ISLAND; ADELIE; DYNAMICS; DIET</t>
  </si>
  <si>
    <t>We examined the breeding populations of chinstrap penguins (Pygoscelis antarctica) on Chabrier Rock and Shag Island within Admiralty Bay, King George Island, South Shetland Islands, Antarctica from 2002 to 2004. When comparing our results to historic data from 1979, we found an overall decline of 57% in the last 25 years, mirroring the population trend of this species in other regions of the Antarctic Peninsula. Our results are discussed in relation to factors hypothesized to be driving the declines found at other sites, as well as the importance of consistent annual censuses to accurately determine population trends.</t>
  </si>
  <si>
    <t>Univ Vale Rio Sinos, Lab Ornithol &amp; Marine Anim, Sao Leopoldo, RS, Brazil; Univ N Carolina, Dept Biol &amp; Marine Biol, Wilmington, NC USA; Fed Univ Rio De Janeiro, Ecol Posgrad Program, Rio De Janeiro, Brazil</t>
  </si>
  <si>
    <t>Universidade do Vale do Rio dos Sinos (Unisinos); University of North Carolina; University of North Carolina Wilmington; Universidade Federal do Rio de Janeiro</t>
  </si>
  <si>
    <t>Sander, M (corresponding author), Univ Vale Rio Sinos, Lab Ornithol &amp; Marine Anim, Av Unisinos 950, Sao Leopoldo, RS, Brazil.</t>
  </si>
  <si>
    <t>sander@unisinos.br</t>
  </si>
  <si>
    <t>Carneiro, Ana Paula/IQT-6077-2023; Polito, Michael/G-9118-2012; COSTA, ERLI SCHNEIDER/AAP-2375-2020</t>
  </si>
  <si>
    <t>Polito, Michael/0000-0001-8639-4431; COSTA, ERLI SCHNEIDER/0000-0002-3739-1178</t>
  </si>
  <si>
    <t>10.1007/s00300-007-0259-1</t>
  </si>
  <si>
    <t>WOS:000244753300015</t>
  </si>
  <si>
    <t>Budd, GM</t>
  </si>
  <si>
    <t>Budd, Grahame M.</t>
  </si>
  <si>
    <t>Australian exploration of Heard Island, 1947-1971</t>
  </si>
  <si>
    <t>In 1947 knowledge of Heard Island was confined to a rough mapping compiled by nineteenth-century sealers, and the results of four scientific expeditions that had briefly investigated the Atlas Cove area. Exploration continued in two distinct periods between 1947 and 1971. In the first period the Australian National Antarctic Research Expeditions (ANARE) built a scientific station at Atlas Cove in 1947, and occupied it continuously until 1955 as an 'A Class' meteorological station, a seismic and magnetic observatory, and a base for other scientific studies and for exploration of the island. In the second period four summer expeditions and one wintering expedition worked on the island between 1963 and 1971. The summer expeditions were an ANARE expedition in 1963, an Australian private expedition (The South Indian Ocean Expedition to Heard Island) in 1965, and ANARE expeditions in 1969 and 1971 associated with United States and French expeditions. A United States expedition wintered in 1969. There were no further expeditions until 1980. The years 1947-1971 saw many achievements. Expedition members recorded seven years of synoptic meteorological observations and four years of seismic and magnetic observations. They developed empirical techniques of work, travel, and survival that shaped the collective character of ANARE and were later applied in Antarctica. Despite difficult terrain and consistently bad weather, and the accidental deaths of two men in 1952, unsupported field parties of two or three men travelling on foot explored and mapped in detail the heavily glaciated island, and documented its topography, geology, glaciology and biology. They made three overland circuits of the island, the first ascent of Big Ben (2745 m), and the first recorded landing on the nearby McDonald Islands. Expedition members bred and trained dog teams for later use in Antarctica. They reported the commencement and subsequent progress of massive glacier retreat caused by regional wanning, and of the island's colonisation by king penguins (Aptenodytes patagonicus) and antarctic fur seals (Arctocephalus gazella). They also reported measurements of glacier flow and thickness, the palaeornagnetism of Heard Island rocks, behavioural and population studies of southern giant petrels (Macronectes giganteus) and other birds, studies of southern elephant seals (Mirounga leonina) and leopard seals (Hydrurga leptonyx), and the cold stress and acclimatisation experienced by humans working in the island's wet-cold climate. In addition, Heard Island served as a testing ground for men, equipment, scientific programmes, huskies, general administration, and logistics, without which Mawson station could not have been established as successfully as it was in 1954. The American wintering expedition and the French summer expedition contributed to major international geodetic and geophysical investigations. In sum, the expeditions between 1947 and 1971 added much to our knowledge of Heard Island, and they laid down a solid foundation for the work of later expeditions.</t>
  </si>
  <si>
    <t>Univ Sydney, Fac Hlth Sci, Sch Exercise &amp; Sport Sci, Lidcombe, NSW 1825, Australia</t>
  </si>
  <si>
    <t>University of Sydney</t>
  </si>
  <si>
    <t>Budd, GM (corresponding author), Univ Sydney, Fac Hlth Sci, Sch Exercise &amp; Sport Sci, POB 170, Lidcombe, NSW 1825, Australia.</t>
  </si>
  <si>
    <t>1475-3057</t>
  </si>
  <si>
    <t>10.1017/S0032247407006080</t>
  </si>
  <si>
    <t>165DW</t>
  </si>
  <si>
    <t>WOS:000246285100001</t>
  </si>
  <si>
    <t>McConville, A</t>
  </si>
  <si>
    <t>McConville, Andrew</t>
  </si>
  <si>
    <t>Henrik Bull, the Antarctic Exploration Committee and the first confirmed landing on the Antarctic continent</t>
  </si>
  <si>
    <t>The Norwegian Henrik Johan Bull managed the Antarctic expedition that penetrated the Ross Sea in 1895 and made a landing at Cape Adare, the first confirmed landing on the Antarctic mainland. Bull had attempted to fund the voyage in Melbourne where he had lived since the late 1880s. At that time, Melbourne's learned societies, through their Antarctic Exploration Committee (AEC), were also making strenuous attempts to launch an expedition. The two parties had contact but the differences in their aims resulted in little cooperation. The AEC plans of a joint commercial/scientific expedition with Dundee or Norwegian whalers, and then a joint scientific expedition under Adolf Erik Nordenskiold, foundered due to lack of funds. The plans to include a scientist, nominated by the learned societies, in Bull's expedition also failed. Instead, Carsten Egeberg Borchgrevink joined Bull's expedition as an ordinary seaman and an occasional scientist. He used this experience to realise his plans to winter on Antarctica. Both Bull and the AEC were important in developing interest in Antarctic exploration and commerce.</t>
  </si>
  <si>
    <t>State Lib Victoria, Melbourne, Vic 3000, Australia</t>
  </si>
  <si>
    <t>McConville, A (corresponding author), State Lib Victoria, 328 Swanston St, Melbourne, Vic 3000, Australia.</t>
  </si>
  <si>
    <t>10.1017/S0032247407006109</t>
  </si>
  <si>
    <t>WOS:000246285100004</t>
  </si>
  <si>
    <t>Peck, VL; Hall, IR; Zahn, R; Grousset, F; Hemming, SR; Scourse, JD</t>
  </si>
  <si>
    <t>Peck, V. L.; Hall, I. R.; Zahn, R.; Grousset, F.; Hemming, S. R.; Scourse, J. D.</t>
  </si>
  <si>
    <t>The relationship of Heinrich events and their European precursors over the past 60 ka BP: a multi-proxy ice-rafted debris provenance study in the North East Atlantic</t>
  </si>
  <si>
    <t>LAST GLACIAL MAXIMUM; ICEBERG DISCHARGES; MAGNETIC-SUSCEPTIBILITY; SOUTHERN BRITAIN; 40AR/39AR AGES; IRMINGER BASIN; ND-ISOTOPES; SEDIMENTS; SEA; SHEET</t>
  </si>
  <si>
    <t>High resolution, multi-proxy records of ice-rafted debris (IRD) flux and provenance in the NE Atlantic detail the development, variability and decline of marine margins of the last glacial circum-North Atlantic ice sheets. Coupled lithological identification, Sr and Nd isotopic composition and 40Ar/39Ar ages of individual hornblende grains reduce ambiguity as to IRD potential source region, allowing clear differentiation between Laurentide (LIS), Icelandic and British (BIS) ice sheet sources (the Icelandic and BIS are collectively referred to as the NW European ice sheet, NWEIS). A step-wise increase in the flux of IRD to the core site at similar to 26.5 ka BP documents BIS advance and glaciation of Ireland. Millennial-scale variability of the BIS at a similar to 2ka periodicity is inferred through clusters of pulsed IRD fluxes throughout the late glacial (26.5-10 ka BP). Combination of these European IRD events and the similar to 7 ka periodicity of LIS instability is thought to account for quasi-synchronicity of the NWEIS and LIS IRD pulses at Heinrich event (H) 2 and H1, previously suggested to represent the possible involvement of the NWEIS in the initiation of H events. Furthermore, the lack of extensive NWEIS marine margin is inferred prior to H3 (31.5 ka BP), such that no 'European precursor' event is associated with either H5 or H4. This suggests that 'precursor events' were not directly implicated in the collapse of the LIS, and the persistent instabilities of the BIS that are clustered at a 2 ka periodicity are incompatible with the concept that both H events and their 'precursors' are independent responses to a common underlying trigger. (c) 2007 Elsevier Ltd. All rights reserved.</t>
  </si>
  <si>
    <t>Cardiff Univ, Sch Earth Ocean &amp; Planetary Sci, Cardiff CF10 3YE, Wales; Univ Autonoma Barcelona, ICREA, Bellaterra 08193, Spain; Univ Bordeaux 1, Dept Geol &amp; Oceanog, F-33405 Talence, France; Columbia Univ, Lamont Doherty Earth Observ, Dept Earth &amp; Environm Sci, Palisades, NY 10964 USA; Univ Wales, Sch Ocean Sci, Menai Bridge LL59 5AB, Anglesey, Wales</t>
  </si>
  <si>
    <t>Cardiff University; ICREA; Autonomous University of Barcelona; Universite de Bordeaux; Columbia University</t>
  </si>
  <si>
    <t>Peck, VL (corresponding author), British Antarctic Survey, Madingley Rd, Cambridge CB3 0ET, England.</t>
  </si>
  <si>
    <t>vlp@bas.ac.uk</t>
  </si>
  <si>
    <t>peck, vicky/A-1955-2009; Hall, Ian/C-2755-2009</t>
  </si>
  <si>
    <t>Hemming, Sidney/0000-0001-8117-2303; Hall, Ian/0000-0001-6960-1419</t>
  </si>
  <si>
    <t>ICREA Funding Source: Custom; Natural Environment Research Council [NER/A/S/2001/01189] Funding Source: researchfish</t>
  </si>
  <si>
    <t>ICREA(ICREA); Natural Environment Research Council(UK Research &amp; Innovation (UKRI)Natural Environment Research Council (NERC))</t>
  </si>
  <si>
    <t>1873-457X</t>
  </si>
  <si>
    <t>10.1016/j.quascirev.2006.12.002</t>
  </si>
  <si>
    <t>199YX</t>
  </si>
  <si>
    <t>WOS:000248732200004</t>
  </si>
  <si>
    <t>Mohtadi, M; Romero, OE; Kaiser, J; Hebbeln, D</t>
  </si>
  <si>
    <t>Mohtadi, Mahyar; Romero, Oscar E.; Kaiser, Jerome; Hebbeln, Dierk</t>
  </si>
  <si>
    <t>Cooling of the southern high latitudes during the Medieval Period and its effect on ENSO</t>
  </si>
  <si>
    <t>EL-NINO/SOUTHERN-OSCILLATION; SEA-SURFACE TEMPERATURE; CLIMATE CHANGES; OCEAN; ICE; NINO; FORAMINIFERA; VARIABILITY; CIRCULATION; CALIBRATION</t>
  </si>
  <si>
    <t>A high-resolution multiproxy study performed on a marine record from SE Pacific off southern South America was used to reconstruct past regional environmental changes and their relation to global climate, particularly to El Nino/Southern Oscillation (ENSO) phenomenon during the last 2200 years. Our results suggest a sustained northward shift in the position of the zonal systems, i.e. the Southern Westerly Wind belt and the Antarctic Circumpolar Current, which occurred between 1300 and 750 yr BP. The synchrony of the latitudinal shift with cooling in Antarctica and reduced ENSO activity observed in several marine and terrestrial archives across South America suggests a causal link between ENSO and the proposed displacement of the zonal systems. This shift might have acted as a positive feedback to more La Nina-like conditions between 1300 and 750 yr BP by steepening the hemispheric and tropical Pacific zonal sea surface temperature gradient. This scenario further suggests different boundary conditions for ENSO before 1300 and after 750 yr BP. (c) 2007 Elsevier Ltd. All rights reserved.</t>
  </si>
  <si>
    <t>Univ Bremen, Ctr Marine Environm Sci, MARUM, D-2800 Bremen 33, Germany; Geoforschungszentrum Potsdam, Potsdam, Germany</t>
  </si>
  <si>
    <t>University of Bremen; Helmholtz Association; Helmholtz-Center Potsdam GFZ German Research Center for Geosciences</t>
  </si>
  <si>
    <t>Mohtadi, M (corresponding author), Univ Bremen, Ctr Marine Environm Sci, MARUM, D-2800 Bremen 33, Germany.</t>
  </si>
  <si>
    <t>mohtadi@uni-bremen.de</t>
  </si>
  <si>
    <t>Mohtadi, Mahyar/N-2106-2014; Hebbeln, Dierk/P-9766-2016</t>
  </si>
  <si>
    <t>Mohtadi, Mahyar/0000-0003-3306-0969; Hebbeln, Dierk/0000-0001-5099-6115</t>
  </si>
  <si>
    <t>10.1016/j.quascirev.2006.12.008</t>
  </si>
  <si>
    <t>WOS:000248732200015</t>
  </si>
  <si>
    <t>Möller</t>
  </si>
  <si>
    <t>Moeller</t>
  </si>
  <si>
    <t>Severnaya Zemlya, Arctic Russia:: a nucleation area for Kara Sea ice sheets during the Middle to late Quaternary (vol 25, pg 21)</t>
  </si>
  <si>
    <t>WESTERN YAMAL PENINSULA; LAST GLACIAL MAXIMUM; TAYMYR PENINSULA; MARGINAL ZONE; LUMINESCENCE; PLEISTOCENE; HISTORY; SIBERIA; SHELLS; AGE</t>
  </si>
  <si>
    <t>Quaternary glacial stratigraphy and relative sea-level changes reveal at least four expansions of the Kara Sea ice sheet over the Severnaya Zemlya Archipelago at 79 degrees N in the Russian Arctic, as indicated from tills interbedded with marine sediments, exposed in stratigraphic superposition, and from raised-beach sequences that occur at altitudes up to 140 m a.s.l. Chronologic control is provided by AMS C-14, electron-spin resonance, green-stimulated luminescence, and aspartic-acid geochronology. Major glaciations followed by deglaciation and marine inundation occurred during MIS 10-9, MIS 8-7, MIS 6-5e and MIS 5d-3. The MIS 6-5e event, associated with the high marine limit, implies ice-sheet thickness of &gt;2000m only 200km from the deep Arctic Ocean, consistent with published evidence of ice grounding at similar to 1000m water depth in the central Arctic Ocean. Till fabrics and glacial tectonics record repeated expansions of local ice caps exclusively, suggesting wet-based ice cap advance followed by cold-based regional ice-sheet expansion. Local ice caps over highland sites along the perimeter of the shallow Kara Sea, including the Byrranga Mountains, appear to have repeatedly fostered initiation of a large Kara Sea ice sheet, with exception of the Last Glacial Maximum (MIS 2), when Kara Sea ice did not impact Severnaya Zemlya and barely graced northernmost Taymyr Peninsula. (c) 2007 Elsevier Ltd. All rights reserved.</t>
  </si>
  <si>
    <t>Lund Univ, Dept Geol, GeoBiosphere Sci Ctr, SE-22362 Lund, Sweden; Univ Colorado, Inst Arctic &amp; Alpine Res, Boulder, CO 80309 USA; Univ Iceland, Dept Geol &amp; Geog, IS-101 Reykjavik, Iceland; Univ Illinois, Dept Earth &amp; Environm Sci, Chicago, IL 60607 USA; Aarhus Univ, Dept Earth Sci, DK-8000 Aarhus, Denmark; Arctic &amp; Antarctic Res Inst, St Petersburg 199397, Russia; Geol Survey Sweden, SE-75128 Uppsala, Sweden; AP Karpinsky All Russia Res Geol Inst, VSEGEI, St Petersburg 199106, Russia; Netherlands Inst Fishery Res, RIVO, NL-1970 AB Ijmuiden, Netherlands; Forschungsstelle Potsdam, Alfred Wegener Inst Polar &amp; Meereforschung, D-14473 Potsdam, Germany</t>
  </si>
  <si>
    <t>Lund University; University of Colorado System; University of Colorado Boulder; University of Iceland; University of Illinois System; University of Illinois Chicago; University of Illinois Chicago Hospital; Aarhus University; Arctic &amp; Antarctic Research Institute; A.P. Karpinsky Russian Geological Research Institute (VSEGEI); Helmholtz Association; Alfred Wegener Institute, Helmholtz Centre for Polar &amp; Marine Research</t>
  </si>
  <si>
    <t>Lund Univ, Dept Geol, GeoBiosphere Sci Ctr, Solvegatan 12, SE-22362 Lund, Sweden.</t>
  </si>
  <si>
    <t>10.1016/j.quascirev.2007.03.001</t>
  </si>
  <si>
    <t>WOS:000248732200020</t>
  </si>
  <si>
    <t>Bakunov, NA; Bol'shiyanov, DY</t>
  </si>
  <si>
    <t>Bakunov, N. A.; Bol'shiyanov, D. Yu.</t>
  </si>
  <si>
    <t>Global 137Cs as a Sediment Marker in Deep Lakes</t>
  </si>
  <si>
    <t>RADIOCHEMISTRY</t>
  </si>
  <si>
    <t>Global Cs-137 is used as a marker for identification of a bottom sediment layer whose age corresponds to the maximal contamination of the hydrosphere with radiocesium in 1964. This method allowed determination of the current sediment accumulation rate in deep lakes. For an Arctic lake with the maximal depth of 110 m (Central Taimyr), the sediment accumulation rate is estimated to be 0.8-3.0 mm/year. The relatively long lifetime of Cs-137 (30 years) is sufficient to provide long-time monitoring of the sedimentation of nonradioactive materials in deep lakes.</t>
  </si>
  <si>
    <t>[Bakunov, N. A.; Bol'shiyanov, D. Yu.] Russian State Sci Ctr, Res Inst Arctic &amp; Antarctic, St Petersburg, Russia</t>
  </si>
  <si>
    <t>Bakunov, NA (corresponding author), Russian State Sci Ctr, Res Inst Arctic &amp; Antarctic, St Petersburg, Russia.</t>
  </si>
  <si>
    <t>Bakunov, Nikolay/AAB-4832-2019</t>
  </si>
  <si>
    <t>1066-3622</t>
  </si>
  <si>
    <t>1608-3288</t>
  </si>
  <si>
    <t>RADIOCHEMISTRY+</t>
  </si>
  <si>
    <t>Radiochemistry</t>
  </si>
  <si>
    <t>10.1134/S106636220702018X</t>
  </si>
  <si>
    <t>Chemistry, Analytical; Chemistry, Inorganic &amp; Nuclear</t>
  </si>
  <si>
    <t>VB4TI</t>
  </si>
  <si>
    <t>WOS:000415504000018</t>
  </si>
  <si>
    <t>Ribecai, C</t>
  </si>
  <si>
    <t>Ribecai, C.</t>
  </si>
  <si>
    <t>Early Jurassic miospores from Ferrar Group of Carapace Nunatak, South Victoria Land, Antarctica</t>
  </si>
  <si>
    <t>REVIEW OF PALAEOBOTANY AND PALYNOLOGY</t>
  </si>
  <si>
    <t>11th International Palynological Congress</t>
  </si>
  <si>
    <t>JUL 04-09, 2004</t>
  </si>
  <si>
    <t>Granada, SPAIN</t>
  </si>
  <si>
    <t>Transantarctic Mountains; Carapace Nunatak; Ferrar Group; Carapace Sandstone Formation; Kirkpatrick Basalt Formation; palynology; early Jurassic</t>
  </si>
  <si>
    <t>TRANSANTARCTIC MOUNTAINS; ORIGIN</t>
  </si>
  <si>
    <t>Along the Transantarctic Mountains, the siliciclastic foreland basin deposits of the Beacon Supergroup and the effusive rocks of the Ferrar Group overlay the pre-Devonian metamorphic basement. The Ferrar Group at Carapace Nunatak is composed of fluvial volcanic sandstones of the Carapace Sandstone Formation, which is overlain by the volcanic flows and breccias of the Kirkpatrick Basalt Formation. Fossiliferous horizons are present in both formations. Palynological analyses have been carried out on fifteen samples collected in marly-silty horizons within the Carapace Sandstone and Kirkpatrick Basalt formations. Samples from the Carapace Sandstone Formation contain a scarce but quite well preserved palynoflora, which is orange to light brown in colour. The spore-pollen assemblages lack dominant species and are very similar in composition. The stratigraphically significant taxa Corollina torosa and Podosporites variabilis are present. The two samples from the Kirkpatrick Basalt Formation contain a very rich microflora dominated by Corollina species (mainly C. torosa) and Exesipollenites tumulus. Some representatives of the genus Callialasporites are also present. Comparisons with previous Carapace Nunatak and Antarctic palynological studies are discussed. The Australian Jurassic biostratigraphic zonation suggests a Late Sinemurian to basal Pliensbachian age for the Carapace Sandstone Formation and a Pliensbachian age for the basal part of the Kirkpatrick Basalt Formation, thus implying a revision of the stratigraphy and correlation between the formations in the Transantarctic mountains. (c) 2006 Elsevier B.V. All rights reserved. Along the Transantarctic Mountains, the siliciclastic foreland basin deposits of the Beacon Supergroup and the effusive rocks of the Ferrar Group overlay the pre-Devonian metamorphic basement. The Ferrar Group at Carapace Nunatak is composed of fluvial volcanic sandstones of the Carapace Sandstone Formation, which is overlain by the volcanic flows and breccias of the Kirkpatrick Basalt Formation. Fossiliferous horizons are present in both formations. Palynological analyses have been carried out on fifteen samples collected in marly-silty horizons within the Carapace Sandstone and Kirkpatrick Basalt formations. Samples from the Carapace Sandstone Formation contain a scarce but quite well preserved palynoflora, which is orange to light brown in colour. The spore-pollen assemblages lack dominant species and are very similar in composition. The stratigraphically significant taxa Corollina torosa and Podosporites variabilis are present. The two samples from the Kirkpatrick Basalt Formation contain a very rich microflora dominated by Corollina species (mainly C. torosa) and Exesipollenites tumulus. Some representatives of the genus Callialasporites are also present. Comparisons with previous Carapace Nunatak and Antarctic palynological studies are discussed. The Australian Jurassic biostratigraphic zonation suggests a Late Sinemurian to basal Pliensbachian age for the Carapace Sandstone Formation and a Pliensbachian age for the basal part of the Kirkpatrick Basalt Formation, thus implying a revision of the stratigraphy and correlation between the formations in the Transantarctic mountains. (c) 2006 Elsevier B.V. All rights reserved.</t>
  </si>
  <si>
    <t>Univ Pisa, Dipartimento Sci Terra, I-56126 Pisa, Italy</t>
  </si>
  <si>
    <t>University of Pisa</t>
  </si>
  <si>
    <t>Ribecai, C (corresponding author), Univ Pisa, Dipartimento Sci Terra, I-56126 Pisa, Italy.</t>
  </si>
  <si>
    <t>ribecai@dst.unipi.it</t>
  </si>
  <si>
    <t>0034-6667</t>
  </si>
  <si>
    <t>1879-0615</t>
  </si>
  <si>
    <t>REV PALAEOBOT PALYNO</t>
  </si>
  <si>
    <t>Rev. Palaeobot. Palynology</t>
  </si>
  <si>
    <t>10.1016/j.revpalbo.2005.09.005</t>
  </si>
  <si>
    <t>Plant Sciences; Paleontology</t>
  </si>
  <si>
    <t>154JC</t>
  </si>
  <si>
    <t>WOS:000245502000002</t>
  </si>
  <si>
    <t>Reyes, PR</t>
  </si>
  <si>
    <t>Reyes, Pablo R.</t>
  </si>
  <si>
    <t>Abyssal fishes of Triple union, join point of Antarctic, South America and Nazca plates (northwestern Patagonic archipelago)</t>
  </si>
  <si>
    <t>REVISTA DE BIOLOGIA MARINA Y OCEANOGRAFIA</t>
  </si>
  <si>
    <t>cottoidei; synaphobranchiclac; Ophtalmolycus; muraenolepididae; congridae</t>
  </si>
  <si>
    <t>PSYCHROLUTID FISH; SCORPAENIFORMES; ATLANTIC; TAXONOMY; PACIFIC</t>
  </si>
  <si>
    <t>A group of fishes obtained at 2000 meters depth at Penas Gulf (47 degrees 31S - 75 degrees 15W), on the so called Triple Union, joining point of the Antarctic, South America and Nazca plates (northwestern Patagonic archipelago), is analyzed. The fishes studied characterize this region as a high diversity environment, in which Antarctic fishes, fishes with Gondwanic distribution, northern invaders of austral origin and Atlantic invaders, come together. In the present study we give meristic and morphometric analyses of studied fishes; additional information about: Diastobranchus capensis Barnard, 1923, a species recently discovered in the southwestern Pacific; Muraenolepis microps Lonnberg, 1905 (its confirmation in Chilean Patagonia after 102 years without registry, explaining the scientific uncertainty about its presence outside Antarctic Convergence limit); a bathymetry record for Pseudoxenomystax albescens (Barnard, 1923), which provides new insigth to understand its presence in the South African and South American coasts; the extension of boreal geographic distribution of Cottunculus granulosus Karrer, 1968 in almost 1000 km within the Eastern South American cone; the extension of the austral distribution of Psychrolutes sio Nelson, 1980 towards Patagonian territory in 1600 km and the most southern record of the Psychrolutes genus; the finding of Ophthalmolycus chilensis Anderson, 1992, second specimen known for the species, extending its austral distribution in 3400 km. With the information obtained we made a biogeographical analysis of the studied sector, catalogued into the Southeastern Pacific as a zone with strong deficits in its ichthyological knowledge.</t>
  </si>
  <si>
    <t>Falkland Isl Govt, Dept Fisheries, FIPASS, Stanley, Falkland Isl, England</t>
  </si>
  <si>
    <t>Reyes, PR (corresponding author), Falkland Isl Govt, Dept Fisheries, FIPASS, POB 598, Stanley, Falkland Isl, England.</t>
  </si>
  <si>
    <t>preyes@fisheries.gov.fk</t>
  </si>
  <si>
    <t>INST OCEANOLOGIA, UNIV VALPARAISO</t>
  </si>
  <si>
    <t>VINA DEL MAR</t>
  </si>
  <si>
    <t>CASILLA 13-D, VINA DEL MAR, 00000, CHILE</t>
  </si>
  <si>
    <t>0717-3326</t>
  </si>
  <si>
    <t>REV BIOL MAR OCEANOG</t>
  </si>
  <si>
    <t>Rev. Biol. Mar. Oceanogr.</t>
  </si>
  <si>
    <t>208YK</t>
  </si>
  <si>
    <t>WOS:000249354900005</t>
  </si>
  <si>
    <t>Frenz, M; Henrich, R</t>
  </si>
  <si>
    <t>Frenz, Michael; Henrich, Ruediger</t>
  </si>
  <si>
    <t>Carbonate dissolution revealed by silt grain-size distribution: comparison of Holocene and Last Glacial Maximum sediments from the pelagic South Atlantic</t>
  </si>
  <si>
    <t>SEDIMENTOLOGY</t>
  </si>
  <si>
    <t>carbonate dissolution; carbonate sedimentation; grain size; Holocene; Last Glacial Maximum; South Atlantic</t>
  </si>
  <si>
    <t>WESTERN EQUATORIAL ATLANTIC; DEEP-SEA SEDIMENTS; CALCIUM-CARBONATE; ORGANIC-CARBON; GLOBIGERINA-BULLOIDES; SURFACE SEDIMENTS; WATER; OCEAN; PRESERVATION; FLUXES</t>
  </si>
  <si>
    <t>The current issue of global warming and the role of the ocean in global exchange of CO2 increases the interest in solid budgets of marine carbonate production and dissolution. The present study utilizes grain-size composition of pelagic sediments in order to trace spatial and temporal variability of carbonate sedimentation in the South Atlantic for the Holocene and Last Glacial Maximum (LGM, 19-23 cal kyr BP). A decrease in grain size (e.g. sand content, mean grain size of coarse carbonate silt) indicates increased carbonate dissolution as a result of increased fragmentation of calcareous microfossils. The spatial grain-size pattern suggests a threshold water depth below which a gradual grain-size decrease becomes increasingly rapid. This water depth is considered as the sedimentary lysocline. For the Holocene time slice, a constant, gradual decrease of foraminifer carbonate of about 5-10% per 1000 m water depth above the lysocline gives evidence for supra-lysoclinal dissolution. The water depth of the lysocline for the Holocene is tied to the interface of North Atlantic Deep Water and Antarctic Bottom Water (AABW) (ca 4100 m). Submarine ridges which restrict intrusion of AABW into the Angola Basin cause an asymmetry in carbonate preservation across the Mid-Atlantic Ridge. The lysocline was reconstructed at ca 3100 m for the LGM. These data suggest that the ca 1000 m rise of the lysocline eradicated the Holocene east-west asymmetry.</t>
  </si>
  <si>
    <t>Univ Bremen, Fac Geosci, D-28334 Bremen, Germany</t>
  </si>
  <si>
    <t>University of Bremen</t>
  </si>
  <si>
    <t>Frenz, M (corresponding author), Natl Oceanog Ctr, Waterfront Campus,European Way, Southall SO14 3ZH, Middx, England.</t>
  </si>
  <si>
    <t>mxf@noc.soton.ac.uk</t>
  </si>
  <si>
    <t>NERC [soc010009] Funding Source: UKRI; Natural Environment Research Council [soc010009] Funding Source: researchfish</t>
  </si>
  <si>
    <t>0037-0746</t>
  </si>
  <si>
    <t>1365-3091</t>
  </si>
  <si>
    <t>Sedimentology</t>
  </si>
  <si>
    <t>10.1111/j.1365-3091.2006.00841.x</t>
  </si>
  <si>
    <t>145TE</t>
  </si>
  <si>
    <t>WOS:000244886600007</t>
  </si>
  <si>
    <t>Le Roux, PC; McGeoch, MA</t>
  </si>
  <si>
    <t>Le Roux, P. C.; McGeoch, M. A.</t>
  </si>
  <si>
    <t>Fine-scale variation in the spatial association of plant species: A test of the stress-gradient hypothesis in the sub-Antarctic</t>
  </si>
  <si>
    <t>SOUTH AFRICAN JOURNAL OF BOTANY</t>
  </si>
  <si>
    <t>Univ Stellenbosch, Dept Conservat Ecol &amp; Entomol, ZA-7602 Matieland, South Africa; Univ Stellenbosch, Ctr Invas Biol, ZA-7602 Matieland, South Africa</t>
  </si>
  <si>
    <t>Stellenbosch University; Stellenbosch University</t>
  </si>
  <si>
    <t>McGeoch, Melodie A/F-8353-2011</t>
  </si>
  <si>
    <t>0254-6299</t>
  </si>
  <si>
    <t>S AFR J BOT</t>
  </si>
  <si>
    <t>S. Afr. J. Bot.</t>
  </si>
  <si>
    <t>10.1016/j.sajb.2007.02.073</t>
  </si>
  <si>
    <t>165NR</t>
  </si>
  <si>
    <t>WOS:000246312700088</t>
  </si>
  <si>
    <t>Hofmeyr, GJG; Bester, MN; Pistorius, PA; Mulaudzi, TW; de Bruyn, PJN; Ramunasi, JA; Tshithabane, HN; McIntyre, T; Radzilani, PM</t>
  </si>
  <si>
    <t>Hofmeyr, G. J. Greg; Bester, Marthan N.; Pistorius, Pierre A.; Mulaudzi, Tambu W.; de Bruyn, P. J. Nico; Ramunasi, Justice A.; Tshithabane, Hendrik N.; McIntyre, Trevor; Radzilani, Phathu M.</t>
  </si>
  <si>
    <t>Median pupping date, pup mortality and sex ratio of fur seals at Marion Island</t>
  </si>
  <si>
    <t>SOUTH AFRICAN JOURNAL OF WILDLIFE RESEARCH</t>
  </si>
  <si>
    <t>Arctocephalus gazella; Arctocephalus tropicalis; density dependence; Marion Island; median pupping date; mortality; sex ratio; Southern Ocean</t>
  </si>
  <si>
    <t>ARCTOCEPHALUS-PUSILLUS-PUSILLUS; POPULATION-CHANGES; ATTENDANCE PATTERNS; DENSITY-DEPENDENCE; BREEDING-SEASON; HEARD-ISLAND; GAZELLA PUPS; EL-NINO; GROWTH; TROPICALIS</t>
  </si>
  <si>
    <t>Modelling fur seal populations requires the accurate assessment of demographic parameters such as age-specific mortality. Owing to the highly variable mortality rates that pups are subject to, mortality of this age class is perhaps the most important factor determining the number of surviving individuals within each cohort. Early pup mortality, sex ratio and median pupping date were determined for sympatric populations of Subantarctic fur seals (Arctocephalus tropicalis) and Antarctic fur seals (A. gazella) at Marion Island, Southern Ocean. Mortality for this species was density dependent, varying from 0.8% at low density sites to 10.9% at high density sites. More accurate methods employed at low-density sites showed a substantially higher pup mortality at three weeks of 1.3-3.4% for Subantarctic fur seals. The same method yielded a mortality estimate at four weeks of age of 1.1-5.1% for Antarctic fur seals. Despite the underestimate inherent in island-wide counts for Subantarctic fur seals, these estimates are still useful for observing temporal and spatial patterns. Sex ratios were at parity for newborns of both species. The sex ratio of eight-week-old Subantarctic fur seal pups was also at parity, which is unusual for fur seal populations. The median pupping dates determined for Subantarctic fur seals and Antarctic fur seals did not differ substantially from previous estimates.</t>
  </si>
  <si>
    <t>Univ Pretoria, Mammal Res Inst, Dept Zool &amp; Entomol, ZA-0002 Pretoria, South Africa</t>
  </si>
  <si>
    <t>University of Pretoria</t>
  </si>
  <si>
    <t>Hofmeyr, GJG (corresponding author), Univ Pretoria, Mammal Res Inst, Dept Zool &amp; Entomol, ZA-0002 Pretoria, South Africa.</t>
  </si>
  <si>
    <t>ghofmeyr@zoology.up.ac.za</t>
  </si>
  <si>
    <t>Bester, Marthán N/E-5387-2010; Hofmeyr, G. J. Greg/AAV-3286-2020; de Bruyn, P. J. Nico/E-4176-2010; McIntyre, Trevor/E-6846-2010</t>
  </si>
  <si>
    <t>Hofmeyr, G. J. Greg/0000-0003-0283-6058; de Bruyn, P. J. Nico/0000-0002-9114-9569; McIntyre, Trevor/0000-0001-8395-7550; Pistorius, Pierre/0000-0001-6561-7069</t>
  </si>
  <si>
    <t>SOUTHERN AFRICAN WILDLIFE MANAGEMENT ASSOC</t>
  </si>
  <si>
    <t>BLOUBERGSTRAND</t>
  </si>
  <si>
    <t>P O BOX 217, BLOUBERGSTRAND 7437, SOUTH AFRICA</t>
  </si>
  <si>
    <t>0379-4369</t>
  </si>
  <si>
    <t>1996-8477</t>
  </si>
  <si>
    <t>S AFR J WILDL RES</t>
  </si>
  <si>
    <t>South Afr. J. Wildl. Res.</t>
  </si>
  <si>
    <t>10.3957/0379-4369-37.1.1</t>
  </si>
  <si>
    <t>167TM</t>
  </si>
  <si>
    <t>WOS:000246475200001</t>
  </si>
  <si>
    <t>Gibson, JF; Courtney, GW</t>
  </si>
  <si>
    <t>Gibson, Joel F.; Courtney, Gregory W.</t>
  </si>
  <si>
    <t>Revision of the net-winged midge genus Horaia Tonnoir and its phylogenetic relationship to other genera within the tribe Apistomyiini (Diptera: Blephariceridae)</t>
  </si>
  <si>
    <t>SYSTEMATIC ENTOMOLOGY</t>
  </si>
  <si>
    <t>PATTERNS</t>
  </si>
  <si>
    <t>Based partly on recent collections from Nepal and northern Thailand, new data are added to the knowledge of Horaia Tonnoir. Pupal and larval stages of H. montana Tonnoir are re-described, larval descriptions for H. manaliella (Kaul) are provided, and two new species, H. diminutiva and H. namtoki, and a new subspecies, H. montana piedmonti, are described. Dichotomous keys to adults, pupae and instar IV larvae of blepharicerid genera from south-east Asia and of all known species of the genus Horaia are provided. Phylogenetic analysis of the tribe Apistomyiini suggests that Horaia is a monophyletic genus closely related to a clade containing Apistomyia Bigot and Parapistomyia Zwick. This clade is, in turn, sister to a weakly supported clade comprising Theischingeria Zwick + Austrocurupira Dumbleton. The New Zealand endemics Peritheates Lamb + Neocurupira Lamb are proposed as sister group to other apistomyiines, within which Nothohoraia Craig + (Curupirina Stuckenberg + Nesocurupira Stuckenberg) is sister group to the remaining genera. The proposed phylogeny supports Zwick's Antarctic origin hypothesis for the biogeography of the Apistomyiini in Asia and Australasia.</t>
  </si>
  <si>
    <t>Iowa State Univ, Dept Entomol, Ames, IA 50011 USA</t>
  </si>
  <si>
    <t>Iowa State University</t>
  </si>
  <si>
    <t>Courtney, GW (corresponding author), Iowa State Univ, Dept Entomol, 3222 Sci Bldg 2, Ames, IA 50011 USA.</t>
  </si>
  <si>
    <t>gwcourt@iastate.edu</t>
  </si>
  <si>
    <t>Gibson, Joel F/A-7051-2013</t>
  </si>
  <si>
    <t>Gibson, Joel/0000-0001-7786-0066</t>
  </si>
  <si>
    <t>0307-6970</t>
  </si>
  <si>
    <t>1365-3113</t>
  </si>
  <si>
    <t>SYST ENTOMOL</t>
  </si>
  <si>
    <t>Syst. Entomol.</t>
  </si>
  <si>
    <t>10.1111/j.1365-3113.2006.00360.x</t>
  </si>
  <si>
    <t>Evolutionary Biology; Entomology</t>
  </si>
  <si>
    <t>157UF</t>
  </si>
  <si>
    <t>WOS:000245745800005</t>
  </si>
  <si>
    <t>McNeil, BI; Matear, RJ</t>
  </si>
  <si>
    <t>McNeil, Ben I.; Matear, Richard J.</t>
  </si>
  <si>
    <t>Climate change feedbacks on future oceanic acidification</t>
  </si>
  <si>
    <t>TELLUS SERIES B-CHEMICAL AND PHYSICAL METEOROLOGY</t>
  </si>
  <si>
    <t>7th International Conference on Carbon Dioxide Utilization7th International Carbon Dioxide Conference (CO2)</t>
  </si>
  <si>
    <t>OCT 12-16, 2003SEP 25-30, 2005</t>
  </si>
  <si>
    <t>Seoul, SOUTH KOREABoulder, CO</t>
  </si>
  <si>
    <t>CARBON-DIOXIDE; ANTHROPOGENIC CO2; HIGH PH; INJECTION; CONSEQUENCES; SEAWATER; IMPACTS; MODEL; ACID</t>
  </si>
  <si>
    <t>Oceanic anthropogenic CO2 uptake will decrease both the pH and the aragonite saturation state (Omega(arag)) of seawater leading to an oceanic acidification. However, the factors controlling future changes in pH and Omega(arag) are independent and will respond differently to oceanic climate change feedbacks such as ocean warming, circulation and biological changes. We examine the sensitivity of these two CO2-related parameters to climate change feedbacks within a coupled atmosphere-ocean model. The ocean warming feedback was found to dominate the climate change responses in the surface ocean. Although surface pH is projected to decrease relatively uniformly by about 0.3 by the year 2100, we find pH to be insensitive to climate change feedbacks, whereas Omega(arag) is buffered by similar to 15%. Ocean carbonate chemistry creates a situation whereby the direct pH changes due to ocean warming are almost cancelled by the pH changes associated with dissolved inorganic carbon concentrations changes via a reduction in CO2 solubility from ocean warming. We show that the small climate change feedback on future surface ocean pH is independent to the amount of ocean warming. Our analysis therefore implies that future projections of surface ocean acidification only need to consider future atmospheric CO2 levels, not climate change induced modifications in the ocean.</t>
  </si>
  <si>
    <t>Univ New S Wales, Sch Math &amp; Stat, Sydney, NSW, Australia; CSIRO, Marine Res &amp; Antarctic Climate &amp; Ecosyst CRC, Hobart, Tas, Australia</t>
  </si>
  <si>
    <t>University of New South Wales Sydney; Commonwealth Scientific &amp; Industrial Research Organisation (CSIRO)</t>
  </si>
  <si>
    <t>McNeil, BI (corresponding author), Univ New S Wales, Sch Math &amp; Stat, Sydney, NSW, Australia.</t>
  </si>
  <si>
    <t>b.mcneil@unsw.edu.au</t>
  </si>
  <si>
    <t>matear, richard/C-5133-2011</t>
  </si>
  <si>
    <t>matear, richard/0000-0002-3225-0800; McNeil, Ben/0000-0001-5765-7087</t>
  </si>
  <si>
    <t>1600-0889</t>
  </si>
  <si>
    <t>TELLUS B</t>
  </si>
  <si>
    <t>Tellus Ser. B-Chem. Phys. Meteorol.</t>
  </si>
  <si>
    <t>10.1111/j.1600-0889.2006.00241.x</t>
  </si>
  <si>
    <t>156DS</t>
  </si>
  <si>
    <t>WOS:000245628900004</t>
  </si>
  <si>
    <t>Jonsell, U; Hansson, ME; Mörth, AM</t>
  </si>
  <si>
    <t>Jonsell, Ulf; Hansson, Margareta E.; Morth, Andcarl-Magnus</t>
  </si>
  <si>
    <t>Correlations between concentrations of acids and oxygen isotope ratios in polar surface snow</t>
  </si>
  <si>
    <t>DRONNING-MAUD-LAND; AUTOMATIC WEATHER STATIONS; MARINE BOUNDARY-LAYER; GREENLAND ICE-SHEET; SEA-SALT AEROSOL; SEASONAL-VARIATIONS; COASTAL ANTARCTICA; DOME-C; POSTDEPOSITIONAL PROCESSES; SPATIAL VARIABILITY</t>
  </si>
  <si>
    <t>Investigation of centimeter-scale snow surface chemistry has been carried out at two polar sites with different site characteristics - in Dronning Maud Land, Antarctica and on the Greenland ice sheet, respectively. Large variations in both impurity content and stable oxygen isotope ratios (delta(18)O) were found on the submeter scale. delta(18)O and the concentration of nitrate correlated at both sites (r = 0.81 and 0.82, respectively). At the Antarctic site, delta(18)O is also correlated to concentrations of methanesulphonate (r = 0.84) and sulphate (r = 0.83) while no such correlation exists at the Greenland site. Instead, a strong anticorrelation (r = -0.85) between sulphate and methanesulphonate is found among the samples from the Greenland site. The ions correlating with delta(18)O at the two sites were probably deposited as acids. Our tentative explanation is that local redeposition of water vapour enriching the snow surface with the lighter isotopes is associated with simultaneous enhanced scavenging of the acids. The responsible process thereby significantly alters the chemical signals of the snow surface.</t>
  </si>
  <si>
    <t>Stockholm Univ, S-10691 Stockholm, Sweden</t>
  </si>
  <si>
    <t>Stockholm University</t>
  </si>
  <si>
    <t>Jonsell, Ulf/F-3116-2015</t>
  </si>
  <si>
    <t>Jonsell, Ulf/0000-0001-6532-8590</t>
  </si>
  <si>
    <t>MALDEN</t>
  </si>
  <si>
    <t>COMMERCE PLACE, 350 MAIN ST, MALDEN 02148, MA USA</t>
  </si>
  <si>
    <t>0280-6509</t>
  </si>
  <si>
    <t>10.1111/j.1600-0889.2007.00272.x</t>
  </si>
  <si>
    <t>WOS:000245628900016</t>
  </si>
  <si>
    <t>Axsmith, BJ; Taylor, EL; Taylor, TN</t>
  </si>
  <si>
    <t>Axsmith, Brian J.; Taylor, Edith L.; Taylor, Thomas N.</t>
  </si>
  <si>
    <t>The New Approach to Corystospermales and the Antarctic Fossil Record: A critique</t>
  </si>
  <si>
    <t>AMEGHINIANA</t>
  </si>
  <si>
    <t>Antarctica; Corystospermales; Dicroidium; gondwana; phylogeny; South America; Triassic; seed ferns</t>
  </si>
  <si>
    <t>DICROIDIUM; PLANTS; ANATOMY; STEMS; WOOD</t>
  </si>
  <si>
    <t>Much is now known about the Mesozoic pteridosperm order Corystospermales based on overseventy years of research. However, several concepts of corystosperm evolution have been proposed that avoid well-established phylogenetic methodology and arbitrarily discount evidence of the group from Antarctica. Here, we focus on the New approach to Corystospermales published by Artabe and Brea, which establishes a phylogeny for corystosperms based mainly on a restricted concept of anomalous wood anatomy in this group, and assumed relationships with cycads and medullosan pteridosperms. These authors also question evidence regarding attached corystospermalean organs from Antarctica. Based on a reconsideration of the Antarctic record, we reaffirm the evidence for a Dicroidium leaf in attachment to branches that also bear distinctive short shoots. Umkomasia cupulate organs occur on identical attached short shoots. We also emphasize that wood morphotaxa attributed to the corystosperms from Antarctica, including Jeffersonioxylon and Kykloxylon, indicate that anomalous secondary growth is not necessarily basic to the corystosperms. We conclude that a greater understanding of the corystosperms will require a consideration of all relevant evidence, and will not be advanced by single organ phylogenies based on fossils from one region.</t>
  </si>
  <si>
    <t>Univ S Alabama, Dept Biol Sci, Mobile, AL 36688 USA; Univ Kansas, Dept Ecol &amp; Evolut Biol, Lawrence, KS 66045 USA; Univ Kansas, Nat Hist Museum, Lawrence, KS 66045 USA; Univ Kansas, Biodiver Res Ctr, Lawrence, KS 66045 USA</t>
  </si>
  <si>
    <t>University of South Alabama; University of Kansas; University of Kansas; University of Kansas</t>
  </si>
  <si>
    <t>Axsmith, BJ (corresponding author), Univ S Alabama, Dept Biol Sci, LSCB 124, Mobile, AL 36688 USA.</t>
  </si>
  <si>
    <t>baxsmith@jaguar1.usouthal.edu; etaylor@ku.edu; tntaylor@ku.edu</t>
  </si>
  <si>
    <t>ASOCIACION PALEONTOLOGICA ARGENTINA</t>
  </si>
  <si>
    <t>BUENOS AIRES</t>
  </si>
  <si>
    <t>MAIPU 645, 1ER PISO, 1006 BUENOS AIRES, ARGENTINA</t>
  </si>
  <si>
    <t>0002-7014</t>
  </si>
  <si>
    <t>1851-8044</t>
  </si>
  <si>
    <t>Ameghiniana</t>
  </si>
  <si>
    <t>MAR 30</t>
  </si>
  <si>
    <t>180CA</t>
  </si>
  <si>
    <t>WOS:000247336300017</t>
  </si>
  <si>
    <t>King, MA; Coleman, R; Morgan, PJ; Hurd, RS</t>
  </si>
  <si>
    <t>King, Matt A.; Coleman, Richard; Morgan, Peter J.; Hurd, Rachael S.</t>
  </si>
  <si>
    <t>Velocity change of the Amery Ice Shelf, East Antarctica, during the period 1968-1999</t>
  </si>
  <si>
    <t>RISE</t>
  </si>
  <si>
    <t>Historic velocity measurements of Antarctica's ice sheet represent vital baseline values that allow ice flow velocity variations to be observed over multidecadal timescales, such as those due to climate change. Using velocity values derived from geodetic quality measurements made in the 1960s and from more recent GPS and remote sensing studies during the 1990s, we examine the variability of ice flow velocities of the northern Amery Ice Shelf, East Antarctica, over the 30-year period, 1968-1999. The historic ice shelf velocities are reexamined using original field notes and the previous data analyses are shown to be erroneous, yielding positional and velocity errors of up to 4 km and 150 m/yr respectively. Once corrected, these historic measurements are shown to be in close (1-5 m/yr) general agreement with GPS-derived velocities from the 1990s at similar geographical locations, providing one of the first precise constraints on multidecadal ice shelf velocity variations on a large Antarctic ice shelf. Comparison of the terrestrial and GPS velocities with spatially dense velocity measurements from remote sensing imagery reveals a systematic bias in the latter of up to +/- 30m/yr, mostly due to propagation of unmodeled vertical ice shelf motion due to tides and atmospheric pressure variations. We therefore excluded the remote sensing velocities from further comparison and suggest caution in the interpretation of similarly derived ice shelf velocities. Velocity differences between the GPS and terrestrial surveys were compared at nine geographical locations suggesting a small (similar to 2.2 m/yr or similar to 0.6%), but statistically significant, slowdown of the ice shelf.</t>
  </si>
  <si>
    <t>Univ Newcastle Upon Tyne, Sch Civil Engn &amp; Geosci, Newcastle Upon Tyne NE1 7RU, Tyne &amp; Wear, England; Univ Tasmania, Sch Geog &amp; Environm Studies, Hobart, Tas 7001, Australia; Antarctic Climate &amp; Ecosyst CRC, Hobart, Tas, Australia; CSIRO Marine &amp; Atmospher Res, Hobart, Tas, Australia; Univ Canberra, Sch Informat Sci &amp; Engn, Canberra, ACT 2001, Australia; Univ Tasmania, Ctr Spatial Informat Sci, Hobart, Tas 7001, Australia</t>
  </si>
  <si>
    <t>Newcastle University - UK; University of Tasmania; University of Tasmania; Commonwealth Scientific &amp; Industrial Research Organisation (CSIRO); University of Canberra; University of Tasmania</t>
  </si>
  <si>
    <t>King, MA (corresponding author), Univ Newcastle Upon Tyne, Sch Civil Engn &amp; Geosci, Cassie Bldg, Newcastle Upon Tyne NE1 7RU, Tyne &amp; Wear, England.</t>
  </si>
  <si>
    <t>m.a.king@newcastle.ac.uk</t>
  </si>
  <si>
    <t>King, Matt/B-4622-2008; Coleman, Richard/H-4425-2012</t>
  </si>
  <si>
    <t>King, Matt/0000-0001-5611-9498; Hurd, Rachael/0000-0002-9553-8246; Coleman, Richard/0000-0002-9731-7498</t>
  </si>
  <si>
    <t>NERC [NE/C002121/1] Funding Source: UKRI; Natural Environment Research Council [NE/C002121/1] Funding Source: researchfish</t>
  </si>
  <si>
    <t>F1</t>
  </si>
  <si>
    <t>F01013</t>
  </si>
  <si>
    <t>10.1029/2006JF000609</t>
  </si>
  <si>
    <t>155CA</t>
  </si>
  <si>
    <t>WOS:000245554200001</t>
  </si>
  <si>
    <t>Alley, RB; Anandakrishnan, S; Dupont, TK; Parizek, BR; Pollard, D</t>
  </si>
  <si>
    <t>Alley, Richard B.; Anandakrishnan, Sridhar; Dupont, Todd K.; Parizek, Byron R.; Pollard, David</t>
  </si>
  <si>
    <t>Effect of sedimentation on ice-sheet grounding-line stability</t>
  </si>
  <si>
    <t>RETREAT; INITIATION; SEA</t>
  </si>
  <si>
    <t>Sedimentation filling space beneath ice shelves helps to stabilize ice sheets against grounding-line retreat in response to a rise in relative sea level of at least several meters. Recent Antarctic changes thus cannot be attributed to sea-level rise, strengthening earlier interpretations that warming has driven ice-sheet mass loss. Large sea-level rise, such as the approximate to 100-meter rise at the end of the last ice age, may overwhelm the stabilizing feedback from sedimentation, but smaller sea-level changes are unlikely to have synchronized the behavior of ice sheets in the past.</t>
  </si>
  <si>
    <t>Penn State Univ, Dept Geosci, University Pk, PA 16802 USA; Penn State Univ, Earth &amp; Environm Syst Inst, University Pk, PA 16802 USA; Univ Illinois, Dept Earth &amp; Environm Sci, Chicago, IL 60607 USA; Coll New Jersey, Dept Phys, Ewing, NJ 08628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</si>
  <si>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Illinois System; University of Illinois Chicago; University of Illinois Chicago Hospital; College of New Jersey</t>
  </si>
  <si>
    <t>Alley, RB (corresponding author), Penn State Univ, Dept Geosci, University Pk, PA 16802 USA.</t>
  </si>
  <si>
    <t>rba6@psu.edu</t>
  </si>
  <si>
    <t>Anandakrishnan, Sridhar/JCN-5026-2023</t>
  </si>
  <si>
    <t>Directorate For Geosciences [0814241] Funding Source: National Science Foundation; Office of Polar Programs (OPP) [0814241] Funding Source: National Science Foundation; Office of Polar Programs (OPP); Directorate For Geosciences [0917509, 0809106] Funding Source: National Science Foundation</t>
  </si>
  <si>
    <t>Directorate For Geosciences(National Science Foundation (NSF)NSF - Directorate for Geosciences (GEO)); Office of Polar Programs (OPP)(National Science Foundation (NSF)NSF - Directorate for Geosciences (GEO)); Office of Polar Programs (OPP); Directorate For Geosciences(National Science Foundation (NSF)NSF - Directorate for Geosciences (GEO))</t>
  </si>
  <si>
    <t>10.1126/science.1138396</t>
  </si>
  <si>
    <t>151HC</t>
  </si>
  <si>
    <t>WOS:000245280100041</t>
  </si>
  <si>
    <t>Link, T; Marjanovic, M; Lawrence, BA</t>
  </si>
  <si>
    <t>Link, Troy; Marjanovic, Marina; Lawrence, Barbara A.</t>
  </si>
  <si>
    <t>Study of freeze-avoidance in the ooplasm of an Antarctic fish, Gymnodraco acuticeps, using NMR spectroscopy</t>
  </si>
  <si>
    <t>ABSTRACTS OF PAPERS OF THE AMERICAN CHEMICAL SOCIETY</t>
  </si>
  <si>
    <t>233rd National Meeting of the Cellulose-and-Renewable-Materials-Division of the American-Chemical-Society (ACS)</t>
  </si>
  <si>
    <t>MAR 25-29, 2007</t>
  </si>
  <si>
    <t>Chicago, IL</t>
  </si>
  <si>
    <t>[Link, Troy; Lawrence, Barbara A.] Eastern Illinois Univ, Dept Chem, Charleston, IL 61920 USA; [Marjanovic, Marina] Eastern Illinois Univ, Dept Biol Sci, Charleston, IL 61920 USA</t>
  </si>
  <si>
    <t>Eastern Illinois University; Eastern Illinois University</t>
  </si>
  <si>
    <t>bluedevils21@hotmail.com; mmarjanovic@eiu.edu; balawrence@eiu.edu</t>
  </si>
  <si>
    <t>0065-7727</t>
  </si>
  <si>
    <t>ABSTR PAP AM CHEM S</t>
  </si>
  <si>
    <t>Abstr. Pap. Am. Chem. Soc.</t>
  </si>
  <si>
    <t>MAR 25</t>
  </si>
  <si>
    <t>921-CHED</t>
  </si>
  <si>
    <t>V14GL</t>
  </si>
  <si>
    <t>WOS:000207722804597</t>
  </si>
  <si>
    <t>King, JC; Jrrar, A; Connolley, WM</t>
  </si>
  <si>
    <t>King, J. C.; Jrrar, A.; Connolley, W. M.</t>
  </si>
  <si>
    <t>Sensitivity of modelled atmospheric circulation to the representation of stable boundary layer processes</t>
  </si>
  <si>
    <t>CENTER CLIMATE MODEL; PARAMETRIZATIONS; SURFACE; IMPACT</t>
  </si>
  <si>
    <t>We examine the sensitivity of the modelled climate of the third generation Hadley Centre climate model to changes in the parametrization of surface and boundary-layer fluxes under stable stratification. Replacing the model's standard parametrization with one in which fluxes decrease more rapidly with increasing stability generates statistically-significant changes in modelled 500 hPa height. The largest changes are seen across the North Atlantic and North Pacific and occur during Northern Hemisphere summer, when persistent stable atmospheric boundary layers form over the western sides of these oceans. The atmospheric response in a coupled version of the model is stronger than in the atmosphere-only version, suggesting that feedbacks involving sea surface temperatures, surface fluxes and atmospheric circulation are important in determining the response.</t>
  </si>
  <si>
    <t>British Antarctic Survey, Cambridge CB3 0ET, England</t>
  </si>
  <si>
    <t>King, JC (corresponding author), British Antarctic Survey, Cambridge CB3 0ET, England.</t>
  </si>
  <si>
    <t>jcki@pcmail.nerc-bas.ac.uk</t>
  </si>
  <si>
    <t>Jrrar, Amna/0000-0002-3426-9783</t>
  </si>
  <si>
    <t>MAR 24</t>
  </si>
  <si>
    <t>L06708</t>
  </si>
  <si>
    <t>10.1029/2006GL028563</t>
  </si>
  <si>
    <t>149ZT</t>
  </si>
  <si>
    <t>WOS:000245186100003</t>
  </si>
  <si>
    <t>Rintoul, SR</t>
  </si>
  <si>
    <t>Rintoul, Stephen R.</t>
  </si>
  <si>
    <t>Rapid freshening of Antarctic Bottom Water formed in the Indian and Pacific oceans</t>
  </si>
  <si>
    <t>SOUTHERN-HEMISPHERE; THERMOHALINE CIRCULATION; CLIMATE-CHANGE; ADELIE LAND; ICE-SHEET; DEEP; SEA; VARIABILITY; MODES</t>
  </si>
  <si>
    <t>Repeat hydrographic sections occupied in 1995 and 2005 reveal a rapid decline in the salinity and density of Antarctic Bottom Water throughout the Australian Antarctic Basin. The basin-wide shift of the deep potential temperature-salinity (theta - S) relationship reflects freshening of both the Indian and Pacific sources of Antarctic Bottom Water. The theta - S curves diverge for waters cooler than - 0.1 degrees C, corresponding to a layer up to 1000 m thick over the Antarctic continental slope and rise. Changes over the last decade are in the same direction but more rapid than those observed between the late 1960s and the 1990s. When combined with recent observations of similar freshening of North Atlantic Deep Water, these results demonstrate that dense water formed in both hemispheres is freshening in response to changes in the high latitude freshwater balance and rapidly transmitting the signature of changes in surface climate into the deep ocean.</t>
  </si>
  <si>
    <t>CSIRO, Wealth Oceans Natl Res Flagship &amp; Antarctic Clima, Hobart, Tas 7001, Australia</t>
  </si>
  <si>
    <t>Rintoul, SR (corresponding author), CSIRO, Wealth Oceans Natl Res Flagship &amp; Antarctic Clima, GPO Box 1538, Hobart, Tas 7001, Australia.</t>
  </si>
  <si>
    <t>steve.rintoul@csiro.au</t>
  </si>
  <si>
    <t>Rintoul, Stephen R/A-1471-2012</t>
  </si>
  <si>
    <t>L06606</t>
  </si>
  <si>
    <t>10.1029/2006GL028550</t>
  </si>
  <si>
    <t>WOS:000245186100002</t>
  </si>
  <si>
    <t>Davidsen, J; Stanchits, S; Dresen, G</t>
  </si>
  <si>
    <t>Davidsen, Jorn; Stanchits, Sergei; Dresen, Georg</t>
  </si>
  <si>
    <t>Scaling and universality in rock fracture</t>
  </si>
  <si>
    <t>PHYSICAL REVIEW LETTERS</t>
  </si>
  <si>
    <t>AFTERSHOCK SEQUENCES; ACOUSTIC-EMISSION; LAW; GRANITE; CREEP</t>
  </si>
  <si>
    <t>We present a detailed statistical analysis of acoustic emission time series from laboratory rock fracture obtained from different experiments on different materials including acoustic emission controlled triaxial fracture and punch-through tests. In all considered cases, the waiting time distribution can be described by a unique scaling function indicating its universality. This scaling function is even indistinguishable from that for earthquakes suggesting its general validity for fracture processes independent of time, space, and magnitude scales.</t>
  </si>
  <si>
    <t>British Antarctic Survey, Cambridge CB3 0ET, England; Geoforschungszentrum Potsdam, D-14473 Potsdam, Germany</t>
  </si>
  <si>
    <t>UK Research &amp; Innovation (UKRI); Natural Environment Research Council (NERC); NERC British Antarctic Survey; Helmholtz Association; Helmholtz-Center Potsdam GFZ German Research Center for Geosciences</t>
  </si>
  <si>
    <t>Davidsen, J (corresponding author), British Antarctic Survey, High Cross,Madingley Rd, Cambridge CB3 0ET, England.</t>
  </si>
  <si>
    <t>davidsen@pks.mpg.de</t>
  </si>
  <si>
    <t>0031-9007</t>
  </si>
  <si>
    <t>1079-7114</t>
  </si>
  <si>
    <t>PHYS REV LETT</t>
  </si>
  <si>
    <t>Phys. Rev. Lett.</t>
  </si>
  <si>
    <t>MAR 23</t>
  </si>
  <si>
    <t>10.1103/PhysRevLett.98.125502</t>
  </si>
  <si>
    <t>149GP</t>
  </si>
  <si>
    <t>WOS:000245135400035</t>
  </si>
  <si>
    <t>Johnson, JS; Smellie, JL</t>
  </si>
  <si>
    <t>Johnson, Joanne S.; Smellie, John L.</t>
  </si>
  <si>
    <t>Zeolite compositions as proxies for eruptive paleoenvironment</t>
  </si>
  <si>
    <t>subglacial; volcanic; glass; palagonite; alteration; paleoenvironment; geochemistry : alteration and weathering processes (3617); volcanology : subaqueous volcanism; global change : general or miscellaneous</t>
  </si>
  <si>
    <t>BASALTIC GLASS; OCEANIC-CRUST; ANTARCTIC PENINSULA; NATURAL ZEOLITES; PALAGONITE; ICE; MECHANISM; EVOLUTION; VOLCANO; MIOCENE</t>
  </si>
  <si>
    <t>We report chemical compositions of authigenic alteration minerals in subglacially erupted hyaloclastite breccias from James Ross Island, Antarctica, which provide a geochemical proxy for paleoenvironment. Analyses of zeolites (phillipsite and chabazite) from several lava-fed deltas on the island were compared with published compositions of zeolites from known freshwater and marine environments. Using values of (Na + K)/Ca = 3.0 (for phillipsites) and 1.0 (for chabazites), the data successfully distinguish between marine and freshwater alteration. However, our study also suggests that volcanic breccias may not be sealed to fluids, even when the pore spaces are completely filled. The James Ross Island data show that, at higher elevations in lava-fed deltas, the zeolites preserve their original freshwater-influenced (i.e., glacial) compositions, whereas at lower elevations, (Na + K)/Ca ratios are generally higher and indicate a later marine influence. We suggest that water may penetrate several kilometers into the volcanic pile by movement along fractures and/or grain boundaries.</t>
  </si>
  <si>
    <t>Johnson, JS (corresponding author), British Antarctic Survey, Madingley Rd, Cambridge CB3 0ET, England.</t>
  </si>
  <si>
    <t>jsj@bas.ac.uk</t>
  </si>
  <si>
    <t>Johnson, Joanne/0000-0003-4537-4447</t>
  </si>
  <si>
    <t>NERC [bas010019] Funding Source: UKRI; Natural Environment Research Council [bas010019] Funding Source: researchfish</t>
  </si>
  <si>
    <t>MAR 17</t>
  </si>
  <si>
    <t>Q03009</t>
  </si>
  <si>
    <t>10.1029/2006GC001450</t>
  </si>
  <si>
    <t>147PP</t>
  </si>
  <si>
    <t>WOS:000245015200001</t>
  </si>
  <si>
    <t>O'Brien, PE; Goodwin, I; Forsberg, CF; Cooper, AK; Whitehead, J</t>
  </si>
  <si>
    <t>O'Brien, P. E.; Goodwin, I.; Forsberg, C. -F.; Cooper, A. K.; Whitehead, J.</t>
  </si>
  <si>
    <t>Late Neogene ice drainage changes in Prydz Bay, East Antarctica and the interaction of Antarctic ice sheet evolution and climate</t>
  </si>
  <si>
    <t>East Antarctica; extreme ice advances; Pliocene; Pleistocene; trough mouth fan; precipitation; Amery Ice Shelf</t>
  </si>
  <si>
    <t>PRINCE-CHARLES-MOUNTAINS; PLEISTOCENE-HOLOCENE RETREAT; ROSS SEA; SNOW ACCUMULATION; PAGODROMA GROUP; AMERY OASIS; SHELF; SYSTEM; REGION; VARIABILITY</t>
  </si>
  <si>
    <t>During the late Neogene, the Lambert Glacier-Amery Ice Shelf drainage system flowed across Prydz Bay and showed several changes in flow pattern. In the Early Pliocene, the Lambert Glacier ice stream reached the shelf edge and built a trough mouth fan on the upper continental slope. This was associated with an increase in ice discharge from the Princess Elizabeth Land coast into Prydz Bay. The trough mouth fan consists mostly of debris flow deposits derived from the melting out of subglacial debris at the grounding line at the continental shelf edge. The composition of debris changes at around 1.1 Ma BP from material derived from erosion of the Lambert Graben and Prydz Bay Basin to mostly basement derived material. This probably results from a reduction in the depth of erosion and hence the volume of ice in the system. In the trough mouth fan, debris flow intervals are separated by thin mudstone horizons deposited when the ice had retreated from the shelf edge. Age control in an Ocean Drilling Program hole indicates that most of the trough mouth fan was deposited prior to the Brunhes-Matuyama Boundary (780 ka BP). This stratigraphy indicates that extreme ice advances in Prydz Bay were rare after the mid Pleistocene, and that ice discharge from Princess Elizabeth Land became more dominant than the Lambert Glacier ice in shelf grounding episodes, since the mid Pleistocene. Mechanisms that might have produced this change are extreme inner shelf erosion and/or decreasing ice accumulation in the interior of East Antarctica. We interpret this pattern as reflecting the increasing elevation of coastal ice through time and the increasing continentality of the interior of the East Antarctic Ice Sheet. The mid Pleistocene change to 100 ka climatic and sea level cycles may also have affected the critical relationship between ice dynamics and the symmetry or asymmetry of the interglacial/glacial climate cycle duration. (c) 2006 Elsevier B.V. All rights reserved.</t>
  </si>
  <si>
    <t>Geosci Australia, Canberra, ACT 2904, Australia; Univ Newcastle, Sch Environm &amp; Life Sci, Environm &amp; Climate Change Grp, Newcastle, NSW 2308, Australia; Norwegian Geotech Inst, N-0806 Oslo, Norway; Stanford Univ, Dept Geol &amp; Environm Sci, Stanford, CA USA; Univ Tasmania, Inst Antarctic &amp; So Ocean Studies, Hobart, Tas 7001, Australia</t>
  </si>
  <si>
    <t>Geoscience Australia; University of Newcastle; Norwegian Geotechnical Institute, NGI; Stanford University; University of Tasmania</t>
  </si>
  <si>
    <t>O'Brien, PE (corresponding author), Geosci Australia, GPO Box 378, Canberra, ACT 2904, Australia.</t>
  </si>
  <si>
    <t>phil.obrien@ga.gov.au</t>
  </si>
  <si>
    <t>O'Brien, Philip/0000-0003-3446-3292; Goodwin, Ian/0000-0001-8682-6409</t>
  </si>
  <si>
    <t>MAR 16</t>
  </si>
  <si>
    <t>10.1016/j.palaeo.2006.09.002</t>
  </si>
  <si>
    <t>147UA</t>
  </si>
  <si>
    <t>WOS:000245026900006</t>
  </si>
  <si>
    <t>Vaughan, DG; Arthern, R</t>
  </si>
  <si>
    <t>Vaughan, David G.; Arthern, Robert</t>
  </si>
  <si>
    <t>Why is it hard to predict the future of ice sheets?</t>
  </si>
  <si>
    <t>WEST ANTARCTICA</t>
  </si>
  <si>
    <t>Vaughan, DG (corresponding author), British Antarctic Survey, NERC, Madingley Rd, Cambridge CB3 0ET, England.</t>
  </si>
  <si>
    <t>dgv@bas.ac.uk</t>
  </si>
  <si>
    <t>Vaughan, David/C-8348-2011</t>
  </si>
  <si>
    <t>Natural Environment Research Council [bas010018] Funding Source: researchfish; NERC [bas010018] Funding Source: UKRI</t>
  </si>
  <si>
    <t>10.1126/science.1141111</t>
  </si>
  <si>
    <t>146LB</t>
  </si>
  <si>
    <t>WOS:000244934800024</t>
  </si>
  <si>
    <t>Shepherd, A; Wingham, D</t>
  </si>
  <si>
    <t>Shepherd, Andrew; Wingham, Duncan</t>
  </si>
  <si>
    <t>Recent sea-level contributions of the Antarctic and Greenland ice sheets</t>
  </si>
  <si>
    <t>SURFACE MASS-BALANCE; DISCHARGE; ACCELERATION; VARIABILITY; SNOWFALL; GROWTH; SHELF; RISE</t>
  </si>
  <si>
    <t>After a century of polar exploration, the past decade of satellite measurements has painted an altogether new picture of how Earth's ice sheets are changing. As global temperatures have risen, so have rates of snowfall, ice melting, and glacier flow. Although the balance between these opposing processes has varied considerably on a regional scale, data show that Antarctica and Greenland are each losing mass overall. Our best estimate of their combined imbalance is about 125 gigatons per year of ice, enough to raise sea level by 0.35 millimeters per year. This is only a modest contribution to the present rate of sea-level rise of 3.0 millimeters per year. However, much of the loss from Antarctica and Greenland is the result of the flow of ice to the ocean from ice streams and glaciers, which has accelerated over the past decade. In both continents, there are suspected triggers for the accelerated ice discharge-surface and ocean warming, respectively- and, over the course of the 21st century, these processes could rapidly counteract the snowfall gains predicted by present coupled climate models.</t>
  </si>
  <si>
    <t>UCL, Ctr Polar Observat &amp; Modeling, Dept Earth Sci, London WC1E 6BT, England; Univ Edinburgh, Ctr Polar Observat &amp; Modeling, Sch Geosci, Edinburgh EH8 9XP, Midlothian, Scotland</t>
  </si>
  <si>
    <t>University of London; University College London; University of Edinburgh</t>
  </si>
  <si>
    <t>Wingham, D (corresponding author), UCL, Ctr Polar Observat &amp; Modeling, Dept Earth Sci, Mortimer St, London WC1E 6BT, England.</t>
  </si>
  <si>
    <t>Shepherd@edu.ac.uk; djw@cporn.ucl.ac.uk</t>
  </si>
  <si>
    <t>Thompson, Renee L/A-9675-2012</t>
  </si>
  <si>
    <t>Shepherd, Andrew/0000-0002-4914-1299</t>
  </si>
  <si>
    <t>10.1126/science.1136776</t>
  </si>
  <si>
    <t>WOS:000244934800039</t>
  </si>
  <si>
    <t>Gaiero, DM; Brunet, F; Probst, JL; Depetris, PJ</t>
  </si>
  <si>
    <t>Gaiero, Diego M.; Brunet, Frederic; Probst, Jean-Luc; Depetris, Pedro J.</t>
  </si>
  <si>
    <t>A uniform isotopic and chemical signature of dust exported from Patagonia: Rock sources and occurrence in southern environments</t>
  </si>
  <si>
    <t>Patagonia; radiogenic isotopes; major and trace elements; dust source</t>
  </si>
  <si>
    <t>ATMOSPHERIC CIRCULATION; TERRIGENOUS SEDIMENT; EAST ANTARCTICA; VOLCANIC-ROCKS; HUDSON VOLCANO; DOME-C; GEOCHEMISTRY; TRANSPORT; ND; CONSTRAINTS</t>
  </si>
  <si>
    <t>Patagonia is considered to be the most important source of dust from South America that is deposited in surrounding areas, and we present here a systematic Sr and Nd isotopic study of sediment currently being exported. Eolian and suspended riverine sediments from Patagonia have a homogeneous chemical and isotopic composition that results from the mixing of by-products from explosive Andean volcanism, derived from the extensive Jurassic silicic, Province of Chon Aike and pyroclastic materials from the basic to intermediate southern Andean Quaternary arc, which are easily denudated and dispersed. The main Andean uplift and the glaciations that began in the Late Tertiary account for the extensive distribution of these sediments in the extra-Andean region. The present geochemical signature of Patagonian sediments was produced during the Pleistocene, along with the onset of the southern Andean explosive arc voleanism. Previously published compositions of sediments from other southern South American source regions, assumed to be representative of Patagonia, are distinct from our data. Considering the alleged importance of Patagonia as a dust source for different depositional environments in southern latitudes, it is surprising to verify that the chemical and isotopic signatures of Patagonian-sourced sediments are different from those of sediments from the Southern Ocean, the Pampean Region or the Antarctic ice. Sediments from these areas have a crustal-like geochemical signature reflecting a mixed origin with sediment from other southern South American sources, whereas Patagonian sediments likely represent the basic to intermediate end-member composition. (c) 2006 Elsevier B.V. All rights reserved.</t>
  </si>
  <si>
    <t>Natl Univ Cordoba, FCEFyN, CIGeS, RA-5016 Cordoba, Argentina; Univ Toulouse 3, UMR CNRS 5563, Lab Mecanismes Transfert Geol, F-31400 Toulouse, France</t>
  </si>
  <si>
    <t>National University of Cordoba; Universite de Toulouse; Universite Toulouse III - Paul Sabatier; Centre National de la Recherche Scientifique (CNRS); Institut de Recherche pour le Developpement (IRD)</t>
  </si>
  <si>
    <t>Gaiero, DM (corresponding author), Natl Univ Cordoba, FCEFyN, CIGeS, Avda Velez Sarsfield 1611, RA-5016 Cordoba, Argentina.</t>
  </si>
  <si>
    <t>dgaiero@efn.uncor.edu</t>
  </si>
  <si>
    <t>PROBST, Jean-Luc/Z-5802-2019</t>
  </si>
  <si>
    <t>PROBST, Jean-Luc/0000-0002-1295-5264; Gaiero, Diego Marcelo/0000-0003-1029-2265</t>
  </si>
  <si>
    <t>MAR 15</t>
  </si>
  <si>
    <t>10.1016/j.chemgeo.2006.11.003</t>
  </si>
  <si>
    <t>147HZ</t>
  </si>
  <si>
    <t>WOS:000244995300009</t>
  </si>
  <si>
    <t>Huerta, AD; Harry, DL</t>
  </si>
  <si>
    <t>Huerta, Audrey D.; Harry, Dennis L.</t>
  </si>
  <si>
    <t>The transition from diffuse to focused extension: Modeled evolution of the West Antarctic Rift system</t>
  </si>
  <si>
    <t>continental extension; rifting; Antarctica</t>
  </si>
  <si>
    <t>MARIE-BYRD-LAND; ROSS-SEA-RIFT; TRANSANTARCTIC MOUNTAINS; VICTORIA-LAND; GEOPHYSICAL INVESTIGATIONS; TECTONIC EVOLUTION; GRAVITY-ANOMALIES; RIO-GRANDE; CRUSTAL; EAST</t>
  </si>
  <si>
    <t>Two distinct stages of extension are recognized in the West Antarctic Rift system (WARS). During the first stage, beginning in the Late Cretaceous, extension was broadly distributed throughout much of West Antarctica. A second stage of extension in the late Palcogene was focused primarily in the Victoria Land Basin, near the boundary with the East Antarctic craton. The transition to focused extension was roughly coeval with volcanic activity and strike-slip faulting in the adjacent Transantarctic Mountains. This spatial and temporal correspondence suggests that the transition in extensional style could be the result of a change in plate motions or impingement of a plume. Here we use finite element models to study the processes and conditions responsible for the two-stage evolution of rifting in the WARS. Model results indicate that the transition from a prolonged period of broadly distributed extension to a later period of focused rifting did not require a change in the regional stress regime (changes in plate motion), or deep mantle thermal state (impingement of a plume). Instead, we attribute the transition from diffuse to focused extension to an early stage dominated by the initially weak accreted lithosphere of West Antarctica, and a later stage that concentrated around a secondary weakness located at the boundary between the juvenile West Antarctica lithosphere and Precambrian East Antarctic craton. The modeled transition in extension from the initially weak West Antarctica region to the secondary weakness at the West Antarctic-East Antarctic boundary is precipitated by strengthening of the West Antarctica lithosphere during syn-extensional thinning and cooling. The modeled synextensional strengthening of the WARS lithosphere promotes a wide-rift mode of extension between 105 and - 65 Ma. By - 65 Ma most of the extending WARS region becomes stronger than the area immediately adjacent to the East Antarctic craton and extension becomes concentrated near the East Antarctic/West Antarctic boundary, forming the Victoria Land Basin region. Mantle necking in this region leads to syn-extensional weakening that promotes a narrow-rift mode of extension that becomes progressively more focused with time, resulting in formation of the Terror Rift in the western Victoria Land Basin. The geodynamic models demonstrate that the transition from diffuse to focused extension occurs only under a limited set of initial and boundary conditions, and is particularly sensitive to the pre-rift thermal state of the crust and upper mantle. Models that predict diffuse extension in West Antarctica followed by localization of rifting near the boundary between East and West Antarctica require upper mantle temperatures of 730 +/- 50 degrees C and sufficient concentration of heat producing elements in the crust to account for similar to 50% of the upper mantle temperature. Models with upper mantle temperatures &lt; ca. 680 degrees C and/or less crustal heat production initially undergo diffuse extension in West Antarctica, and quickly develop a lithospheiie neck at the model edge furthest from East Antarctica. Models with upper mantle temperatures &gt; ca. 780 degrees C do not develop focused rifts, and predict indefinite diffuse extension in West Antarctica. (c) 2007 Elsevier B.V. All rights reserved.</t>
  </si>
  <si>
    <t>Penn State Univ, Dept Geosci, University Pk, PA 16801 USA; Colorado State Univ, Dept Geosci, Ft Collins, CO 80523 USA</t>
  </si>
  <si>
    <t>Pennsylvania Commonwealth System of Higher Education (PCSHE); Pennsylvania State University; Pennsylvania State University - University Park; Colorado State University</t>
  </si>
  <si>
    <t>Huerta, AD (corresponding author), Penn State Univ, Dept Geosci, University Pk, PA 16801 USA.</t>
  </si>
  <si>
    <t>ahuerta@geosc.psu.edu; dharry@cnr.colostate.edu</t>
  </si>
  <si>
    <t>Huerta, Audrey D/A-8680-2009</t>
  </si>
  <si>
    <t>Huerta, Audrey/0000-0002-0252-8496</t>
  </si>
  <si>
    <t>10.1016/j.epsl.2006.12.011</t>
  </si>
  <si>
    <t>149JQ</t>
  </si>
  <si>
    <t>WOS:000245143600012</t>
  </si>
  <si>
    <t>Simas, FNB; Schaefer, CEGR; Melo, VF; Albuquerque-Filho, MR; Michel, RFM; Pereira, VV; Gomes, MRM; da Costa, LM</t>
  </si>
  <si>
    <t>Simas, Felipe N. B.; Schaefer, Carlos Ernesto G. R.; Melo, Vander F.; Albuquerque-Filho, Manoel R.; Michel, Roberto F. M.; Pereira, Victor V.; Gomes, Mariana R. M.; da Costa, Liovando M.</t>
  </si>
  <si>
    <t>Ornithogenic cryosols from Maritime Antarctica: Phosphatization as a soil forming process</t>
  </si>
  <si>
    <t>GEODERMA</t>
  </si>
  <si>
    <t>cryosols; Antarctica; phosphatization; soils; classification</t>
  </si>
  <si>
    <t>SOUTH SHETLAND ISLANDS; KING GEORGE ISLAND; PHOSPHORUS FRACTIONS; MINERALS; OXALATE; FE</t>
  </si>
  <si>
    <t>Birds nesting activity during the short antarctic summer promotes intense localized sea-land transference of nutrients and organic matter, originating the ornithogenic soils. This study presents chemical, physical and mineralogical data as well as some micropedological and submicroscopical characteristics of ornithogenic and non-ornithogenic soils from the western coast of the Admiralty Bay, King George Island. Chemical analyses of selected soil properties show P and N enrichment in ornithogenic soils. Vegetation growth is enhanced and results in high soil organic C contents. A granular, sub-rounded structure composed by silt particles surrounded by illuvial phosphates is typical at ornithogenic horizons. These illuviation features characterize a distinct process of phosphatization, with P mobility and neoformation of secondary phosphates, such as taranakite, minyulite and leucophosphite. Omithogenic sites are extremely important and constitute the most important locci of C sequestration in antarctic terrestrial ecosystems. A classification scheme for ornithogenic soils is proposed within the Soil Taxonomy and WRB classification systems. (c) 2006 Elsevier B.V. All rights reserved.</t>
  </si>
  <si>
    <t>Univ Fed Vicosa, Dept Solos, BR-36570 Vicosa, MG, Brazil; UNEC, Ctr Caratinga, BR-35300000 Caratinga, MG, Brazil; Univ Fed Parana, Dept Solos &amp; Engn Agricola, BR-80035050 Curitiba, Parana, Brazil; EMBRAPA, Ctr Pesquisa Agropecuaria Cerrados, BR-77019800 Palmas, TO, Brazil; FEAM, BR-30380000 Belo Horizonte, MG, Brazil</t>
  </si>
  <si>
    <t>Universidade Federal de Vicosa; Universidade Federal do Parana; Empresa Brasileira de Pesquisa Agropecuaria (EMBRAPA)</t>
  </si>
  <si>
    <t>Simas, FNB (corresponding author), Univ Fed Vicosa, Dept Solos, Av PH Rolfs S-N, BR-36570 Vicosa, MG, Brazil.</t>
  </si>
  <si>
    <t>fsimass@yahoo.com.br</t>
  </si>
  <si>
    <t>Michel, Roberto Ferreira Machado/H-4578-2016; Schaefer, Carlos Ernesto/AAY-4977-2020; Melo, Vander/I-4135-2014</t>
  </si>
  <si>
    <t>Michel, Roberto Ferreira Machado/0000-0001-5951-4610; Melo, Vander/0000-0003-0761-1536; Ernesto Goncalves Reynaud Schaefer, Carlos/0000-0001-7060-1598; Costa, Liovando Marciano da/0000-0001-9581-0783; Ernesto Goncalves Reynaud Schaefer, Carlos/0000-0001-5735-3227</t>
  </si>
  <si>
    <t>0016-7061</t>
  </si>
  <si>
    <t>1872-6259</t>
  </si>
  <si>
    <t>Geoderma</t>
  </si>
  <si>
    <t>10.1016/j.geoderma.2006.11.011</t>
  </si>
  <si>
    <t>154AS</t>
  </si>
  <si>
    <t>WOS:000245479800002</t>
  </si>
  <si>
    <t>Turner, J; Overland, JE; Walsh, JE</t>
  </si>
  <si>
    <t>Turner, John; Overland, James E.; Walsh, John E.</t>
  </si>
  <si>
    <t>An Arctic and Antarctic perspective on recent climate change</t>
  </si>
  <si>
    <t>INTERNATIONAL JOURNAL OF CLIMATOLOGY</t>
  </si>
  <si>
    <t>polar; Arctic; Antarctica; climate</t>
  </si>
  <si>
    <t>NORTH-ATLANTIC OSCILLATION; SEA-ICE VARIABILITY; SUMMER TEMPERATURES; REANALYSIS PROJECT; AIR-TEMPERATURE; SNOW COVER; HEMISPHERE; TRENDS; PENINSULA; OCEAN</t>
  </si>
  <si>
    <t>We contrast recent climatic and environmental changes and their causes in the Arctic and the Antarctic. There are continuing increases in surface temperatures, losses of sea ice and tundra, and warming of permafrost over broad areas of the Arctic, while most of the major increase in Antarctic temperatures is on the Antarctic Peninsula associated with sea ice loss in the Bellingshausen-Amundsen Seas sector. While both natural atmospheric and oceanic variability, and changes in external forcing including increased greenhouse gas concentrations, must be considered in the quest for understanding such changes, the interactions and feedbacks between system components are particularly strong at high latitudes. For the 1950s to date in the Arctic and for 1957 to date in the Antarctic, positive trends in large-scale atmospheric circulation represented by the Arctic oscillation (AO) and Antarctic oscillations (AAO) and the Pacific North American (PNA) pattern contribute to the long-term temperature trends. However, continuing Arctic trends during the last decade of near neutral AO will require alternate explanations. The trend in the AAO since 1950 is larger than expected from natural variability and may be associated with the decrease in stratospheric ozone over Antarctic. The persistence shown in many Arctic and Antarctic Peninsula components of climate and their influence through possible feedback supports continuation of current trends over the next decade. One can expect large spatial and temporal differences, however, from the relative contributions of intrinsic variability, external forcing, and internal feedback/amplifications. It is particularly important to resolve regional feedback processes in future projections based on modeling scenarios. Copyright (C) 2006 Royal Meteorological Society.</t>
  </si>
  <si>
    <t>British Antarctic Survey, Cambridge CB3 0ET, England; NOAA, Pacific Marine Environm Lab, Seattle, WA 98115 USA; Int Arctic Res Ctr, Fairbanks, AK USA</t>
  </si>
  <si>
    <t>UK Research &amp; Innovation (UKRI); Natural Environment Research Council (NERC); NERC British Antarctic Survey; National Oceanic Atmospheric Admin (NOAA) - USA</t>
  </si>
  <si>
    <t>Turner, J (corresponding author), British Antarctic Survey, Cambridge CB3 0ET, England.</t>
  </si>
  <si>
    <t>jtu@bas.ac.uk</t>
  </si>
  <si>
    <t>Walsh, John/0000-0002-2510-8734; Walsh, John/0000-0001-9541-5927; Turner, John/0000-0002-6111-5122</t>
  </si>
  <si>
    <t>0899-8418</t>
  </si>
  <si>
    <t>1097-0088</t>
  </si>
  <si>
    <t>INT J CLIMATOL</t>
  </si>
  <si>
    <t>Int. J. Climatol.</t>
  </si>
  <si>
    <t>10.1002/joc.1406</t>
  </si>
  <si>
    <t>149LB</t>
  </si>
  <si>
    <t>WOS:000245147300001</t>
  </si>
  <si>
    <t>Marshall, GJ</t>
  </si>
  <si>
    <t>Marshall, Gareth J.</t>
  </si>
  <si>
    <t>Half-century seasonal relationships between the Southern Annular Mode and Antarctic temperatures</t>
  </si>
  <si>
    <t>Southern Hemisphere Annular mode (SAM); Antarctica; temperature; climate change</t>
  </si>
  <si>
    <t>HEMISPHERE CLIMATE-CHANGE; VARIABILITY; OSCILLATION; TRENDS; CIRCULATION; REANALYSES</t>
  </si>
  <si>
    <t>In this short communication, we examine the relationship between the Southern Hemisphere Annular Mode (SAM) and Antarctic near-surface temperatures using data from Antarctic stations for 1957-2004. This near half-century period is significantly longer than those analysed in previous studies. Furthermore, the four seasons are considered independently while the longer datasets allow the temporal stability of the relationship to be investigated. A general pattern of positive (negative) correlations between the strength of the SAM and temperatures in the northern Antarctic Peninsula (East Antarctica) is shown to be valid for the last half-century but detailed differences are established between the seasons. These include a seasonal change in the sign of the relationship at one station, while at others there are single seasons when temperatures there are, or, in some cases, are not, significantly related to the SAM. Generally, SAM-temperature correlations are stronger across Antarctica in austral autumn and summer. Estimates of the contribution that trends in the SAM have made to Antarctic near-surface temperature change between 1957 and 2004 are greatest in autumn: in this season they exceed 1 degrees C at half the 14 stations examined with a maximum change of -1.4 degrees C. There does not appear to have been any significant long-term change in the strength of SAM-temperature relationships over the period examined, even with the onset of ozone depletion. However, on an annual basis, the long-term relationship between the SAM and near-surface temperatures can be disrupted and even reversed at some stations although coastal East Antarctica appears stable in this respect. These findings give support to the exploitation of appropriate ice core data to determine long-term changes in the SAM based upon transfer functions derived from recent data. Copyright (C) 2006 Royal Meteorological Society.</t>
  </si>
  <si>
    <t>Marshall, GJ (corresponding author), British Antarctic Survey, NERC, High Cross,Madingley Rd, Cambridge CB3 0ET, England.</t>
  </si>
  <si>
    <t>GJMA@bas.ac.uk</t>
  </si>
  <si>
    <t>10.1002/joc.1407</t>
  </si>
  <si>
    <t>WOS:000245147300008</t>
  </si>
  <si>
    <t>Sime, LC; Ferguson, RI; Church, M</t>
  </si>
  <si>
    <t>Sime, Louise C.; Ferguson, Robert I.; Church, Michael</t>
  </si>
  <si>
    <t>Estimating shear stress from moving boat acoustic Doppler velocity measurements in a large gravel bed river</t>
  </si>
  <si>
    <t>WATER RESOURCES RESEARCH</t>
  </si>
  <si>
    <t>LOWER FRASER-RIVER; CURRENT PROFILER; SEDIMENT TRANSPORT; BRITISH-COLUMBIA; FLOW VELOCITY; ROUGHNESS; LAYER</t>
  </si>
  <si>
    <t>Moving boat acoustic Doppler current profiling (ADCP) is increasingly used to measure discharge in large rivers. We investigate whether useful information about bed shear stress can be recovered from such data. Alternative ways to estimate local bed shear stress using the logarithmic law of the wall and spatial averaging are tested using ADCP transects across lower Fraser River, Canada. Repeatability is assessed by comparing estimates from outward and return boat tracks. The most precise method uses the vertically averaged mean velocity and a zero-velocity height based on bed grain size information. The accuracy of the assumed zero-velocity height can be judged by consistency between estimates using mean velocity and near-bed velocity. Shear stress estimates from unconstrained log-law fits are less repeatable and tend to overpredict, and mean shear stress estimates using the depth-slope product are unreliable in this river because of nonuniform flow.</t>
  </si>
  <si>
    <t>British Antarctic Survey, Cambridge CB3 0ET, England; Univ Durham, Dept Geog, Durham DH1 3LE, England; Univ British Columbia, Dept Geog, Vancouver, BC V6T 1Z2, Canada</t>
  </si>
  <si>
    <t>UK Research &amp; Innovation (UKRI); Natural Environment Research Council (NERC); NERC British Antarctic Survey; Durham University; University of British Columbia</t>
  </si>
  <si>
    <t>Sime, LC (corresponding author), British Antarctic Survey, High Cross,Madingley Rd, Cambridge CB3 0ET, England.</t>
  </si>
  <si>
    <t>r.i.ferguson@durham.ac.uk</t>
  </si>
  <si>
    <t>Sime, Louise/AAX-7730-2021; Ferguson, Robert I/A-7610-2008; Sime, Louise/F-8058-2012</t>
  </si>
  <si>
    <t>Sime, Louise/0000-0002-9093-7926; Ferguson, Robert I/0000-0002-0981-1112; Sime, Louise/0000-0002-9093-7926</t>
  </si>
  <si>
    <t>0043-1397</t>
  </si>
  <si>
    <t>WATER RESOUR RES</t>
  </si>
  <si>
    <t>Water Resour. Res.</t>
  </si>
  <si>
    <t>W03418</t>
  </si>
  <si>
    <t>10.1029/2006WR005069</t>
  </si>
  <si>
    <t>Environmental Sciences; Limnology; Water Resources</t>
  </si>
  <si>
    <t>Environmental Sciences &amp; Ecology; Marine &amp; Freshwater Biology; Water Resources</t>
  </si>
  <si>
    <t>147UH</t>
  </si>
  <si>
    <t>WOS:000245027600003</t>
  </si>
  <si>
    <t>Solli, K; Kuvaas, B; Kristoffersen, Y; Leitchenkov, G; Guseva, J; Gandjukhin, V</t>
  </si>
  <si>
    <t>Solli, K.; Kuvaas, B.; Kristoffersen, Y.; Leitchenkov, G.; Guseva, J.; Gandjukhin, V.</t>
  </si>
  <si>
    <t>Seismic morphology and distribution of inferred glaciomarine deposits along the East Antarctic continental margin, 20°E-60°E</t>
  </si>
  <si>
    <t>continental rise; resedimentation; depocentres; paleo-channels; levees; ice streams</t>
  </si>
  <si>
    <t>SEDIMENT TRANSPORT; TURBIDITY CURRENTS; LAURENTIAN FAN; WEDDELL SEA; ICE; SLOPE; CHANNEL; COMPLEX; SYSTEMS; WAVES</t>
  </si>
  <si>
    <t>Seismic-reflection profiles from the continental rise and abyssal plain along a nearly 2000-km long stretch of the East Antarctic margin have been studied, including the Cosmonaut Sea basin and adjacent parts of the Riiser-Larsen Sea to the west and the Cooperation Sea to the east. The recognition of glaciomarine deposits is based on their correlative basal reflector and acoustic characteristics. The lateral distribution of seismostratigraphic sediment thickness, internal architecture of reflectors and seafloor morphology reveal a number of deep-water depocentres with large paleo-channels. These main depocentres correspond to the coastal outlets of present-day ice streams and hence indicate longer-term stabilities in the ice-stream positions during the Neogene advance and retreat phases of the Antarctic Ice Sheet. Scattered paleo-channels and subordinate depocentres in the Cosmonaut Sea suggest that some of the ice streams might occasionally change their position or that also other ice streams were episodically involved during earlier glacial maxima. Several paleo-channels are &gt; 30 km wide and &gt; 500 m deep, the largest one being approximately 40 kin wide and 1000 m deep. These channels show evidence of multiple incisions and have prominent, multi-storey levees. The giant conduits are considered to be formed through several extensive phases of mass wasting from the shelf edge and upper slope to the continental rise and adjoining abyssal plain. Downslope transport by sediment gravity flows predominates with a subordinate role of along-slope sediment drift by circumpolar contour current. The repetitive advances and retreats of the ice sheet and recharging of ice streams with terrigenous detritus allowed enormous amounts of glacigenic sediment to be transferred from the Antarctic interior to the shelf margin during glacial phases. It was probably a high rate of localized sediment supply by ice streams and a wide range of sediment grain sizes that promoted the long series of large and highly efficient turbidity currents. The study demonstrates that a seismostratigraphic mapping of deep-water depocentres and recognition of paleo-channels along a glaciated continental margin may provide important information on the long-term ice-sheet dynamics, particularly on the pattern of ice drainage represented by coastal ice streams. (c) 2006 Elsevier B.V. All rights reserved.</t>
  </si>
  <si>
    <t>Univ Bergen, Dept Earth Sci, N-5007 Bergen, Norway; VNIIOkeangeol, St Petersburg 190121, Russia; PMGRE, Lomonosov 189510, Russia</t>
  </si>
  <si>
    <t>University of Bergen</t>
  </si>
  <si>
    <t>Solli, K (corresponding author), Univ Bergen, Dept Earth Sci, N-5007 Bergen, Norway.</t>
  </si>
  <si>
    <t>Kenneth.Solli@geo.uib.no</t>
  </si>
  <si>
    <t>Leitchenkov, German/0000-0001-6316-8511</t>
  </si>
  <si>
    <t>MAR 13</t>
  </si>
  <si>
    <t>10.1016/j.margeo.2006.12.002</t>
  </si>
  <si>
    <t>144UX</t>
  </si>
  <si>
    <t>WOS:000244822900006</t>
  </si>
  <si>
    <t>Lachlan-Cope, TA; Connolley, WM; Turner, J</t>
  </si>
  <si>
    <t>Lachlan-Cope, T. A.; Connolley, W. M.; Turner, J.</t>
  </si>
  <si>
    <t>Effects of tropical sea surface temperature (SST) errors on the Antarctic atmospheric circulation of HadCM3</t>
  </si>
  <si>
    <t>CENTER CLIMATE MODEL; LATITUDES</t>
  </si>
  <si>
    <t>This paper investigate the large mean sea level pressure errors in the HadCM3 atmosphere-ocean global climate model around Antarctica and finds them to be caused by the sea surface temperature (SST) errors in the winter tropics. This teleconnection is explained by the warm tropical SST anomalies causing anomalous ascent which strengthens the Hadley circulation and increases the high-level (similar to 200hPa) divergence. This in turn interacts with the strong meridional gradient in absolute vorticity to generate Rossby waves that propagate polewards. By imposing SST anomalies, in the atmosphere only model, in different ocean basins it is shown that it is the SST errors over Indonesia and the eastern tropical Atlantic that are responsible for these wave trains; and hence, primarily responsible for the pressure anomalies. By contrast, a large SST error over the eastern tropical Pacific does not cause a wave train to be generated because it does not generate strong ascent. This study also demonstrates the difficulties in diagnosing errors within a coupled climate model since forcing, particularly in the tropics, may have a strongly non-local effect.</t>
  </si>
  <si>
    <t>British Antarctic Survey, Cambridge CB5 9NJ, England</t>
  </si>
  <si>
    <t>Lachlan-Cope, TA (corresponding author), British Antarctic Survey, Cambridge CB5 9NJ, England.</t>
  </si>
  <si>
    <t>tlc@bas.ac.uk</t>
  </si>
  <si>
    <t>Turner, John/0000-0002-6111-5122</t>
  </si>
  <si>
    <t>MAR 7</t>
  </si>
  <si>
    <t>L05809</t>
  </si>
  <si>
    <t>10.1029/2006GL029067</t>
  </si>
  <si>
    <t>145WV</t>
  </si>
  <si>
    <t>WOS:000244897400007</t>
  </si>
  <si>
    <t>Chen, YC; Jaczynski, J</t>
  </si>
  <si>
    <t>Chen, Yi-Chen; Jaczynski, Jacek</t>
  </si>
  <si>
    <t>Gelation of protein recovered from whole antarctic krill (Euphausia superba) by isoelectric solubilization/precipitation as affected by functional additives</t>
  </si>
  <si>
    <t>JOURNAL OF AGRICULTURAL AND FOOD CHEMISTRY</t>
  </si>
  <si>
    <t>krill proteins; isoelectric solubilization/precipitation; storage modulus; bovine plasma protein; transglutaminase; texture and color properties</t>
  </si>
  <si>
    <t>FISH PROTEINS; SURIMI; PH; TRANSGLUTAMINASE; AUTOLYSIS; LINKING</t>
  </si>
  <si>
    <t>This study demonstrated that the novel isoelectric solubilization/precipitation can be applied to recover functional muscle protein in a continuous mode from whole Antarctic krill. Protein recovered from whole krill had a much lower ash content than whole krill, suggesting good removal of inedible impurities (shell, appendages, etc.). Lipids were retained to a higher degree with krill protein solubilized at acidic rather than basic pH. The viscoelastic modulus (G') showed that recovered krill protein failed to form heat-induced gel unless beef plasma protein (BPP) was added. Therefore, protease inhibitors are suggested for development of krill-derived products. Even with BPP, the G' decreased between 45 and 55 degrees C. However, krill protein solubilized at acidic pH had a higher decrease of the G' than the protein solubilized at basic pH, likely due to krill endogenous cathepsin L. Krill protein-based gels developed from protein solubilized at basic pH, especially pH 12.0, had better texture (torsion and Kramer tests and texture profile analysis) than acidic counterparts, possibly due to higher proteolysis and denaturation at acidic pH. Gels made from protein solubilized at acidic pH were brighter and whiter likely due to a higher lipid content.</t>
  </si>
  <si>
    <t>Chung Shan Med Univ, Sch Nutr, Taichung, Taiwan; W Virginia Univ, Morgantown, WV 26506 USA</t>
  </si>
  <si>
    <t>Chung Shan Medical University; West Virginia University</t>
  </si>
  <si>
    <t>Jaczynski, J (corresponding author), Chung Shan Med Univ, Sch Nutr, 110 Sect 1 Jianguo North Rd, Taichung, Taiwan.</t>
  </si>
  <si>
    <t>Jacek.Jaczynski@mail.wvu.edu</t>
  </si>
  <si>
    <t>Chen, Yiyi/IAR-4632-2023; Chen, Yi-Chen/GVU-0551-2022</t>
  </si>
  <si>
    <t>CHEN, YI-CHEN/0000-0002-4616-2115</t>
  </si>
  <si>
    <t>0021-8561</t>
  </si>
  <si>
    <t>1520-5118</t>
  </si>
  <si>
    <t>J AGR FOOD CHEM</t>
  </si>
  <si>
    <t>J. Agric. Food Chem.</t>
  </si>
  <si>
    <t>10.1021/jf0629944</t>
  </si>
  <si>
    <t>Agriculture, Multidisciplinary; Chemistry, Applied; Food Science &amp; Technology</t>
  </si>
  <si>
    <t>Agriculture; Chemistry; Food Science &amp; Technology</t>
  </si>
  <si>
    <t>140HY</t>
  </si>
  <si>
    <t>WOS:000244496700025</t>
  </si>
  <si>
    <t>Baumgaertner, AJG; McDonald, AJ</t>
  </si>
  <si>
    <t>Baumgaertner, A. J. G.; McDonald, A. J.</t>
  </si>
  <si>
    <t>A gravity wave climatology for Antarctica compiled from Challenging Minisatellite Payload/Global Positioning System (CHAMP/GPS) radio occultations</t>
  </si>
  <si>
    <t>POLAR STRATOSPHERIC CLOUDS; DOWNWARD CONTROL; OZONE DEPLETION; VORTEX; ATMOSPHERE; GPS/MET; WINTER</t>
  </si>
  <si>
    <t>The seasonal, geographical, and altitudinal dependence of gravity wave activity in the lower stratosphere over Antarctica is presented. Gravity wave activity is estimated by calculating potential energy, E-p, from radio occultation profiles obtained by the Challenging Minisatellite Payload/Global Positioning System (CHAMP/GPS) experiment. Significant seasonal variation of wave activity is observed. Smaller wave activity in summer is attributed to waves with small phase velocities experiencing critical level filtering. At other times of the year, when wave activity is large, less filtering occurs and the strong background wind is likely to cause Doppler shifting of waves to longer vertical wavelengths, which can reach larger amplitudes before saturating. Relationships between gravity wave activity and geographic location indicate that topography is a strong source for wave activity especially over the Antarctic Peninsula. However, wind rotation in this area was found to reduce the wave energy in summer at certain altitudes. A strong enhancement of wave energy is observed at the edge of the polar vortex. Again, reduced critical level filtering and Doppler shifting in the area of the jet are likely to be major causes for this finding. Possible limitations to this study due to observational filtering are discussed.</t>
  </si>
  <si>
    <t>Univ Canterbury, Dept Phys &amp; Astron, Christchurch 1, New Zealand</t>
  </si>
  <si>
    <t>University of Canterbury</t>
  </si>
  <si>
    <t>Baumgaertner, AJG (corresponding author), Univ Canterbury, Dept Phys &amp; Astron, Christchurch 1, New Zealand.</t>
  </si>
  <si>
    <t>a.baumgaertner@gmail.com</t>
  </si>
  <si>
    <t>Baumgaertner, Andreas/C-4830-2011</t>
  </si>
  <si>
    <t>Baumgaertner, Andreas/0000-0002-4740-0701; McDonald, Adrian/0000-0002-1456-6254</t>
  </si>
  <si>
    <t>MAR 3</t>
  </si>
  <si>
    <t>D5</t>
  </si>
  <si>
    <t>D05103</t>
  </si>
  <si>
    <t>10.1029/2006JD007504</t>
  </si>
  <si>
    <t>143GN</t>
  </si>
  <si>
    <t>WOS:000244708200003</t>
  </si>
  <si>
    <t>Konopka, P; Engel, A; Funke, B; Müller, R; Grooss, JU; Günther, G; Wetter, T; Stiller, G; von Clarmann, T; Glatthor, N; Oelhaf, H; Wetzel, G; López-Puertas, M; Pirre, M; Huret, N; Riese, M</t>
  </si>
  <si>
    <t>Konopka, Paul; Engel, Andreas; Funke, Bernd; Mueller, Rolf; Grooss, Jens-Uwe; Guenther, Gebhard; Wetter, Thomas; Stiller, Gabriele; von Clarmann, Thomas; Glatthor, Norbert; Oelhaf, Hermann; Wetzel, Gerald; Lopez-Puertas, Manuel; Pirre, Michel; Huret, Nathalie; Riese, Martin</t>
  </si>
  <si>
    <t>Ozone loss driven by nitrogen oxides and triggered by stratospheric warmings can outweigh the effect of halogens</t>
  </si>
  <si>
    <t>POLAR VORTEX; CHLORINE ACTIVATION; CHEMISTRY; TRANSPORT; AIR; PHOTOCHEMISTRY; INSTRUMENT; HEMISPHERE; SUMMER; MODEL</t>
  </si>
  <si>
    <t>Ozone loss in the lower and middle stratosphere in spring and summer, in particular over polar regions, is driven mainly by halogens and nitrogen oxides (NOx). Whereas the stratospheric chlorine levels are expected to decrease in the future, the role of NOx for the O-3 budget in a changing climate is not well quantified. Here we combine satellite measurements and model simulations to diagnose the accumulated O-3 loss during winter and spring 2002-2003 in the Arctic polar stratosphere. We show that in a winter stratosphere strongly disturbed by warmings, O-3 loss processes driven by halogens and NOx can significantly overlap within the polar column and become comparable in magnitude even if a significant, halogen- induced O-3 loss has occurred. Whereas, until the beginning of March 2003, polar column O-3 loss was mainly caused by the halogen chemistry within the vortex at an altitude around 18 km, the chemical O3 destruction in March and April was dominated by the NOx chemistry in O3-rich air masses transported from the subtropics and mixed with the polar air above the region affected by the halogens. This NOx-related O-3 loss started around mid-December 2002 in subtropical air masses above 30 km that moved poleward after the major warming in January, descended to 22 km with an increasing magnitude of O-3 loss and reached surprisingly high values of up to 50% local loss around the end of April. To some extent, the NOx-driven O-3 loss was enhanced by mesospheric air trapped in the vortex at the beginning of the winter as a layer of few km in the vertical and transported downward within the vortex. The effect of NOx transported from the subtropics dominated the O-3 loss processes in the polar stratosphere in spring 2003, both relative to the effect of the halogens and relative to the contribution of the mesospheric NOx sources. A comparison with the 1999/2000 Arctic winter and with the Antarctic vortex split event in 2002 shows that wave events triggered by stratospheric warmings may significantly enhance O3 loss driven by NOx when O-3- and NOx- rich air masses from the subtropics are transported poleward and are mixed with the vortex air.</t>
  </si>
  <si>
    <t>Forsch Zentrum, ICG I Stratosphare, Julich, Germany; Goethe Univ Frankfurt, Inst Meteorol &amp; Geophys, Frankfurt, Germany; Consejo Super Invest, Inst Astrophys Andalucia, Granada, Spain; Forschungszentrum Karlsruhe, Inst Meteorol &amp;Klimatforsch, Karlsruhe, Germany; Lab Phys &amp; Chem Environm, Orleans, France</t>
  </si>
  <si>
    <t>Goethe University Frankfurt; Consejo Superior de Investigaciones Cientificas (CSIC); CSIC - Instituto de Astrofisica de Andalucia (IAA); Helmholtz Association; Karlsruhe Institute of Technology</t>
  </si>
  <si>
    <t>Konopka, P (corresponding author), Forsch Zentrum, ICG I Stratosphare, Julich, Germany.</t>
  </si>
  <si>
    <t>p.konopka@fz-juelich.de</t>
  </si>
  <si>
    <t>Müller, Rolf/ABA-8213-2021; Oelhaf, Hermann A/A-7895-2013; Stiller, Gabriele P./A-7340-2013; Grooß, Jens-Uwe/A-7315-2013; Grooß, Jens-Uwe/N-3305-2019; Riese, Martin/A-3927-2013; von Clarmann, Thomas/A-7287-2013; Glatthor, Norbert/B-2141-2013; Wetzel, Gerald/A-7065-2013; Konopka, Paul/A-7329-2013; Engel, Andreas/E-3100-2014; Funke, Bernd/C-2162-2008; Lopez-Puertas, Manuel/M-8219-2013; Guenther, Gebhard/K-7583-2012</t>
  </si>
  <si>
    <t>Müller, Rolf/0000-0002-5024-9977; Stiller, Gabriele P./0000-0003-2883-6873; Grooß, Jens-Uwe/0000-0002-9485-866X; Grooß, Jens-Uwe/0000-0002-9485-866X; Riese, Martin/0000-0001-6398-6493; Wetzel, Gerald/0000-0002-6671-0297; Konopka, Paul/0000-0002-5915-830X; Engel, Andreas/0000-0003-0557-3935; von Clarmann, Thomas/0000-0003-2219-3379; Funke, Bernd/0000-0003-0462-4702; Lopez-Puertas, Manuel/0000-0003-2941-7734; Guenther, Gebhard/0000-0003-4111-6221</t>
  </si>
  <si>
    <t>D05105</t>
  </si>
  <si>
    <t>10.1029/2006JD007064</t>
  </si>
  <si>
    <t>WOS:000244708200002</t>
  </si>
  <si>
    <t>Hobbs, WR; Raphael, MN</t>
  </si>
  <si>
    <t>Hobbs, W. R.; Raphael, M. N.</t>
  </si>
  <si>
    <t>A representative time-series for the Southern Hemisphere zonal wave 1</t>
  </si>
  <si>
    <t>ANNULAR MODE; SEA-ICE; CIRCULATION; VARIABILITY; OSCILLATION; REANALYSES; CLIMATE; TRENDS; WAVES</t>
  </si>
  <si>
    <t>Recent studies show that an ENSO component of west Antarctic climate variability is related to a persistent zonal pressure anomaly in the south Pacific, which in turn is related to the zonal wave 1 of the subpolar atmospheric circulation. In order to promote further investigation into its dynamics, a suite of time series are presented that describe the intensity and location of ZW1. These time series are shown to represent the SH zonally asymmetric circulation reasonably well. Analysis of the time series suggests that, consistent with previous research, there was a poleward and eastward shift in ZW1 over the late 20th Century. There was also an increase in amplitude variance over this period. Cross-correlation confirms a link with ENSO, and suggests a link between the subtropical and subpolar ZW1. Results also indicate a significant local interaction between south Pacific sea surface temperature and the intensity and location of ZW1.</t>
  </si>
  <si>
    <t>Hobbs, WR (corresponding author), Univ Calif Los Angeles, Dept Geog, 1255 Bunche Hall, Los Angeles, CA 90095 USA.</t>
  </si>
  <si>
    <t>whobbs@ucla.edu</t>
  </si>
  <si>
    <t>Hobbs, Will/P-8094-2019</t>
  </si>
  <si>
    <t>Hobbs, Will/0000-0002-2061-0899</t>
  </si>
  <si>
    <t>MAR 2</t>
  </si>
  <si>
    <t>L05702</t>
  </si>
  <si>
    <t>10.1029/2006GL028740</t>
  </si>
  <si>
    <t>143GD</t>
  </si>
  <si>
    <t>Green Accepted, Green Published, Bronze</t>
  </si>
  <si>
    <t>WOS:000244707200007</t>
  </si>
  <si>
    <t>Morris, RJ; Murphy, DJ; Klekociuk, AR; Holdsworth, DA</t>
  </si>
  <si>
    <t>Morris, Ray J.; Murphy, Damian J.; Klekociuk, Andrew R.; Holdsworth, David A.</t>
  </si>
  <si>
    <t>First complete season of PMSE observations above Davis, Antarctica, and their relation to winds and temperatures</t>
  </si>
  <si>
    <t>MESOSPHERE SUMMER ECHOES; RADAR OBSERVATIONS</t>
  </si>
  <si>
    <t>A comprehensive account of the properties of southern hemisphere (SH) Polar Mesosphere Summer Echoes (PMSE) has been constrained by the lack of deployment of atmospheric radars. Here we present the first complete season of PMSE detected above the high-latitude station Davis, Antarctica (8.0 degrees E, 68.6 degrees S) using a 55-MHz atmospheric radar for the 2004-2005 austral summer. We present the characteristics and morphology of SH PMSE events observed during the interval 23 November 2004-18 February 2005. Coincident Aura satellite temperature measurements (T) and ground MF-radar partial reflection observations are used to investigate the thermal and dynamical state of the polar mesosphere during conditions of PMSE occurrence. We find that the seasonal envelope of PMSE corresponds remarkably well with the seasonal envelope of temperature or more precisely when T - T-fp &lt; 0 K (T-fp = frost point temperature). Furthermore, we show that PMSE are linked with the typical summer equatorward flow of the mesosphere meridional wind, but were perturbed while this wind flowed poleward.</t>
  </si>
  <si>
    <t>Australian Govt, Antarctic Div, Kingston, Tas 7050, Australia; Atmospher Radar Syst Pty Ltd ATRAD, Thebarton, SA 5031, Australia; Univ Adelaide, Dept Phys, Adelaide, SA, Australia</t>
  </si>
  <si>
    <t>Australian Antarctic Division; University of Adelaide</t>
  </si>
  <si>
    <t>Morris, RJ (corresponding author), Australian Govt, Antarctic Div, 203 Channel Highway, Kingston, Tas 7050, Australia.</t>
  </si>
  <si>
    <t>ray.morris@aad.gov.au</t>
  </si>
  <si>
    <t>Klekociuk, Andrew/A-4498-2015</t>
  </si>
  <si>
    <t>Klekociuk, Andrew/0000-0003-3335-0034; Murphy, Damian/0000-0003-1738-5560</t>
  </si>
  <si>
    <t>L05805</t>
  </si>
  <si>
    <t>10.1029/2006GL028641</t>
  </si>
  <si>
    <t>WOS:000244707200005</t>
  </si>
  <si>
    <t>Wang, E; Koutsioulis, D; Leiros, HKS; Andersen, OA; Bouriotis, V; Hough, E; Heikinheimo, P</t>
  </si>
  <si>
    <t>Wang, Ellen; Koutsioulis, Dimitris; Leiros, Hanna-Kirsti S.; Andersen, Ole Andreas; Bouriotis, Vassilis; Hough, Edward; Heikinheimo, Pirkko</t>
  </si>
  <si>
    <t>Crystal structure of alkaline phosphatase from the Antarctic bacterium TAB5</t>
  </si>
  <si>
    <t>JOURNAL OF MOLECULAR BIOLOGY</t>
  </si>
  <si>
    <t>alkaline phosphatase; X-ray structure; cold adaptation; psychrophiles</t>
  </si>
  <si>
    <t>COLD ADAPTATION; PSYCHROPHILIC ENZYMES; ALPHA-AMYLASE; ACTIVE-SITE; MECHANISM; INSIGHTS; PROTEIN; HEAT; SUBTILISIN; ISOMERASE</t>
  </si>
  <si>
    <t>Alkaline phosphatases (APs) are non-specific phosphohydrolases that are widely used in molecular biology and diagnostics. We describe the structure of the cold active alkaline phosphatase from the Antarctic bacterium TAB5 (TAP). The fold and the active site geometry are conserved with the other AP structures, where the monomer has a large central beta-sheet enclosed by alpha-helices. The climer interface of TAP is relatively small, and only a single loop from each monomer replaces the typical crown domain. The structure also has typical cold-adapted features; lack of disulfide bridges, low number of salt-bridges, and a loose dimer interface that completely lacks charged interactions. The dimer interface is more hydrophobic than that of the Escherichia coli AP and the interactions have tendency to pair with backbone atoms, which we propose to result from the cold adaptation of TAP. The structure contains two additional magnesium ions outside of the active site, which we believe to be involved in substrate binding as well as contributing to the local stability. The M4 site stabilises an interaction that anchors the substrate-coordinating R148. The M5 metal-binding site is in a region that stabilises metal coordination in the active site. In other APs the M5 binding area is supported by extensive salt-bridge stabilisation, as well as positively charged patches around the active site. We propose that these charges, and the TAP M5 binding, influence the release of the product phosphate and thus might influence the rate-determining step of the enzyme. (c) 2006 Elsevier Ltd. All rights reserved.</t>
  </si>
  <si>
    <t>Univ Tromso, Inst Kjemi, N-9037 Tromso, Norway; Univ Crete, Dept Biol, Iraklion 71409, Crete, Greece; Univ Tromso, N-9037 Tromso, Norway; Univ Helsinki, Inst Biotechnol, FIN-00014 Helsinki, Finland</t>
  </si>
  <si>
    <t>UiT The Arctic University of Tromso; University of Crete; UiT The Arctic University of Tromso; University of Helsinki</t>
  </si>
  <si>
    <t>Heikinheimo, P (corresponding author), Univ Tromso, Inst Kjemi, N-9037 Tromso, Norway.</t>
  </si>
  <si>
    <t>Pirkko.Heikinheimo@Helsinki.fi</t>
  </si>
  <si>
    <t>Heikinheimo, Pirkko/M-2148-2019; Leiros, Hanna-Kirsti S./E-4000-2016</t>
  </si>
  <si>
    <t>Andersen, Ole Andreas/0000-0002-0408-645X; Leiros, Hanna-Kirsti S./0000-0002-2726-6322</t>
  </si>
  <si>
    <t>0022-2836</t>
  </si>
  <si>
    <t>1089-8638</t>
  </si>
  <si>
    <t>J MOL BIOL</t>
  </si>
  <si>
    <t>J. Mol. Biol.</t>
  </si>
  <si>
    <t>10.1016/j.jmb.2006.11.079</t>
  </si>
  <si>
    <t>142KW</t>
  </si>
  <si>
    <t>WOS:000244649500022</t>
  </si>
  <si>
    <t>Mäkinen, TM</t>
  </si>
  <si>
    <t>Makinen, Tiina M.</t>
  </si>
  <si>
    <t>Human cold exposure, adaptation, and performance in high latitude environments</t>
  </si>
  <si>
    <t>AMERICAN JOURNAL OF HUMAN BIOLOGY</t>
  </si>
  <si>
    <t>31st Annual Meeting of the Human-Biology-Association</t>
  </si>
  <si>
    <t>MAR 08-09, 2006</t>
  </si>
  <si>
    <t>Anchorage, AK</t>
  </si>
  <si>
    <t>PROLONGED ANTARCTIC RESIDENCE; SEASONAL AFFECTIVE-DISORDER; MODERATE COLD; METABOLIC-RESPONSES; PHYSIOLOGICAL-RESPONSES; COGNITIVE PERFORMANCE; CLIMATIC INFLUENCES; THERMAL RESPONSES; REACTION-TIME; LOWER LEG</t>
  </si>
  <si>
    <t>Cold exposure is present to significant amounts in the everyday occupational and leisure time activities of circumpolar residents. A cross-sectional population study demonstrated that Finns reported being exposed to cold on average 4% of their total time. Factors modifying cold exposure are: age, gender, employment, education, health, and amount of physical exercise. Several symptoms and complaints are associated with wintertime cold exposure and start to appear more commonly when temperatures decrease below -10 degrees C. Urban circumpolar people do not evidently demonstrate cold acclimatization responses in terms of changes in thermoregulation, probably due to behavioral factors (adequate protective clothing, short cold exposures, and high housing temperatures). With regard to performance, we observed that moderate cold exposure, which may occur in everyday life, affects cognition negatively through the mechanisms of distraction and both positively and negatively through the mechanism of arousal (increased vigilance). It seems that especially simple cognitive tasks are adversely affected by cold, while in more complex tasks performance may even improve in mild or moderate cold. Repeated, short cold exposures in the laboratory, causing cold habituation responses, do not markedly improve neuromuscular or cognitive performance. The article discusses the functional significance of cold exposure, adaptation, and the specific environmental conditions and physiological mechanisms that affect behavior and performance in high latitude environments.</t>
  </si>
  <si>
    <t>Univ Oulu, Dept Publ Hlth Sci &amp; Gen Practice, FIN-90014 Oulu, Finland; Univ Oulu, Ctr Arctic Med, Thule Inst, FIN-90014 Oulu, Finland</t>
  </si>
  <si>
    <t>University of Oulu; University of Oulu</t>
  </si>
  <si>
    <t>Mäkinen, TM (corresponding author), Univ Oulu, Dept Publ Hlth Sci &amp; Gen Practice, POB 5000, FIN-90014 Oulu, Finland.</t>
  </si>
  <si>
    <t>tiina.makinen@oulu.fi</t>
  </si>
  <si>
    <t>Ikaheimo, Tiina Maria/0000-0002-2763-6004</t>
  </si>
  <si>
    <t>1042-0533</t>
  </si>
  <si>
    <t>1520-6300</t>
  </si>
  <si>
    <t>AM J HUM BIOL</t>
  </si>
  <si>
    <t>Am. J. Hum. Biol.</t>
  </si>
  <si>
    <t>MAR-APR</t>
  </si>
  <si>
    <t>10.1002/ajhb.20627</t>
  </si>
  <si>
    <t>Anthropology; Biology</t>
  </si>
  <si>
    <t>Science Citation Index Expanded (SCI-EXPANDED); Social Science Citation Index (SSCI); Conference Proceedings Citation Index - Social Science &amp; Humanities (CPCI-SSH); Conference Proceedings Citation Index - Science (CPCI-S)</t>
  </si>
  <si>
    <t>Anthropology; Life Sciences &amp; Biomedicine - Other Topics</t>
  </si>
  <si>
    <t>141AB</t>
  </si>
  <si>
    <t>WOS:000244547100001</t>
  </si>
  <si>
    <t>International Polar Year</t>
  </si>
  <si>
    <t>MAR</t>
  </si>
  <si>
    <t>10.1017/S0954102007000016</t>
  </si>
  <si>
    <t>146EZ</t>
  </si>
  <si>
    <t>WOS:000244918600001</t>
  </si>
  <si>
    <t>Hawes, TC; Worland, MR; Convey, P; Bale, JS</t>
  </si>
  <si>
    <t>Hawes, T. C.; Worland, M. R.; Convey, P.; Bale, J. S.</t>
  </si>
  <si>
    <t>Aerial dispersal of springtails on the Antarctic Peninsula: implications for local distribution and demography</t>
  </si>
  <si>
    <t>collembola; Cryptopygus antarcticus; desiccation; maritime Antarctic; wind</t>
  </si>
  <si>
    <t>VICTORIA LAND; WATER-LOSS; INVERTEBRATES; COLLEMBOLA; VARIABILITY; PARTICLES; INSECTS; ISLANDS</t>
  </si>
  <si>
    <t>Aerial dispersal has been frequently proposed as a potential mechanism by which polar terrestrial arthropods are transported to, and settle the ice free habitats of Antarctica, but to date there has been little substantive evidence in support of this hypothesis. Using water traps we investigated aerial deposition of arthropods on Lagoon Island, Ryder Bay, on the Antarctic Peninsula. Over a period of five weeks, trapping at three different altitudes, we captured a total of nine springtails, Cryptopygus antarcticus, all alive. This is the first study to demonstrate conclusively the survival of wind-borne native arthropods within Antarctica. By scaling the modest trapping area and success against island surface area, it is clear that hundreds, if not thousands, of springtails are regularly relocated by winds between the terrestrial habitats of Marguerite Bay. We use known desiccation rates of C. antarcticus and wind speeds to predict the likelihood of successful dispersal between the principal terrestrial habitats of the larger Marguerite Bay. Implications for local and long-range dispersal are discussed in relation to C. antarcticus and other polar arthropods.</t>
  </si>
  <si>
    <t>Univ Birmingham, Sch Biosci, Birmingham B15 2TT, W Midlands, England; British Antarctic Survey, NERC, Cambridge CB3 0ET, England</t>
  </si>
  <si>
    <t>University of Birmingham; UK Research &amp; Innovation (UKRI); Natural Environment Research Council (NERC); NERC British Antarctic Survey</t>
  </si>
  <si>
    <t>Hawes, TC (corresponding author), Univ Birmingham, Sch Biosci, Birmingham B15 2TT, W Midlands, England.</t>
  </si>
  <si>
    <t>tinstone12@hotmail.com</t>
  </si>
  <si>
    <t>Convey, Peter/AAV-5728-2020</t>
  </si>
  <si>
    <t>Convey, Peter/0000-0001-8497-9903</t>
  </si>
  <si>
    <t>10.1017/S0954102007000028</t>
  </si>
  <si>
    <t>WOS:000244918600002</t>
  </si>
  <si>
    <t>Xiao, X; Li, MG; You, ZY; Wang, FP</t>
  </si>
  <si>
    <t>Xiao, Xiang; Li, Mingguang; You, Ziyong; Wang, Fengping</t>
  </si>
  <si>
    <t>Bacterial communities inside and in the vicinity of the Chinese Great Wall Station, King George Island, Antarctica</t>
  </si>
  <si>
    <t>bacterial diversity; DGGE; South Shetland Islands</t>
  </si>
  <si>
    <t>GRADIENT GEL-ELECTROPHORESIS; SP-NOV; WEST PACIFIC; DIVERSITY; LAKE; SEDIMENTS; STRAINS</t>
  </si>
  <si>
    <t>Both bacterial culture and molecular approaches were used to investigate the bacterial diversity inside the Chinese Antarctic Great Wall Station and in its adjacent area. Heterotrophic bacteria were isolated from the samples using a direct plating method. gamma-Proteobacteria, Actinobacteria, Flavobacteria and Firmicutes were isolated from these samples. In the three water samples, Pseudomonas species were dominant. In soil samples, Flavobacterium, Bacillus or Arthrobacter species dominated. Escherichia coli strains were isolated only in two samples from inside the station. Total cell counts in the six soil samples were semi-quantified by Quantitative Competitive-PCR of the 16S rRNA gene copies. The soil samples contained 10(5) to 10(9) cells g(-1). Denaturing gradient gel electrophoresis (DGGE) was used further to investigate the bacterial diversity in the soil samples. A wider range of bacterial diversity including alpha-Proteobacteria, beta-Proteobacteria, delta-Proteobacteria, gamma-Proteobacteria, Flavobacteria, Actinobacteria and unclassified bacteria was discovered.</t>
  </si>
  <si>
    <t>State Ocean Adm, Inst Oceanog 3, Key Lab Marine Biogenet Resources, Xiamen, Peoples R China</t>
  </si>
  <si>
    <t>Third Institute of Oceanography, Ministry of Natural Resources</t>
  </si>
  <si>
    <t>Wang, FP (corresponding author), State Ocean Adm, Inst Oceanog 3, Key Lab Marine Biogenet Resources, Xiamen, Peoples R China.</t>
  </si>
  <si>
    <t>fengpingw@yahoo.com</t>
  </si>
  <si>
    <t>10.1017/S095410200700003X</t>
  </si>
  <si>
    <t>WOS:000244918600003</t>
  </si>
  <si>
    <t>Gremmen, NJM; Van De Vijver, B; Frenot, Y; Lebouvier, M</t>
  </si>
  <si>
    <t>Gremmen, Niek J. M.; Van De Vijver, Bart; Frenot, Yves; Lebouvier, Marc</t>
  </si>
  <si>
    <t>Distribution of moss-inhabiting diatoms along an altitudinal gradient at sub-Antarctic Iles Kerguelen</t>
  </si>
  <si>
    <t>climatic gradient; species diversity; transfer function</t>
  </si>
  <si>
    <t>MEASURING BETA-DIVERSITY; PRESENCE-ABSENCE DATA; QUANTITATIVE INDICATORS; WATER TEMPERATURE; NORTHERN SWEDEN; LAKES; ASSEMBLAGES; RECONSTRUCTION; CLIMATE; FLUCTUATIONS</t>
  </si>
  <si>
    <t>Altitudinal gradients provide excellent opportunities to study relationships between species distribution and climatic variables. We studied the species composition of 39 samples of moss-inhabiting diatoms, collected at 50 m intervals from 100-650 m above sea level. The samples contained a total of 130 diatom species, of which 51 occurred in 10 or more samples. Altitude appeared to be the most important variable explaining variation in species composition. Of the 51 common species, 33 showed a significant relationship with altitude. Although the majority of the latter declined with increasing altitude, for nine species the probability of occurrence first increased with increasing elevation, but decreased again at higher altitudes, and four species increased systematically with elevation. As a result, expected species richness per sample decreased from an estimated 43 at 100 m to 25 species per sample at 650 m. Diatom distribution patterns proved to be suitable predictors of the altitudinal position of sample sites. Cross-validation yielded a strong relationship between predicted and observed altitudes.</t>
  </si>
  <si>
    <t>Natl Bot Garden Belgium, Dept Bryophyta &amp; Thallophyta, B-1860 Meise, Belgium; Univ Antwerp, CDE, Dept Biol, Unit Polar Ecol Limnol &amp; Paleobiol, B-2610 Antwerp, Belgium; Data Analyse Ecol, NL-7981 CD Diever, Netherlands; Inst Polaire Paul Emile Victor, F-29280 Plouzane, France; Univ Rennes 1, CNRS, UMR 6553, Ecobio, F-35380 Paimpont, France</t>
  </si>
  <si>
    <t>University of Antwerp; Universite de Rennes; Centre National de la Recherche Scientifique (CNRS); CNRS - Institute of Ecology &amp; Environment (INEE)</t>
  </si>
  <si>
    <t>Van De Vijver, B (corresponding author), Natl Bot Garden Belgium, Dept Bryophyta &amp; Thallophyta, Domein van Bouchout, B-1860 Meise, Belgium.</t>
  </si>
  <si>
    <t>vandevijver@br.fgov.be</t>
  </si>
  <si>
    <t>Frenot, Yves/0000-0003-2666-1272</t>
  </si>
  <si>
    <t>10.1017/S0954102007000041</t>
  </si>
  <si>
    <t>WOS:000244918600004</t>
  </si>
  <si>
    <t>De Bruyn, PJN; Cooper, J; Bester, MN; Tosh, CA</t>
  </si>
  <si>
    <t>De Bruyn, P. J. Nico; Cooper, John; Bester, Marthan N.; Tosh, Cheryl A.</t>
  </si>
  <si>
    <t>The importance of land-based prey for sympatrically breeding giant petrels at sub-Antarctic Marion Island</t>
  </si>
  <si>
    <t>population trends; Macronectes halli; M. giganteus; resource use; seabirds; seals</t>
  </si>
  <si>
    <t>SOUTHERN ELEPHANT SEAL; PENGUIN APTENODYTES-PATAGONICUS; MACRONECTES-HALLI; MIROUNGA-LEONINA; FUR SEALS; ARCTOCEPHALUS-GAZELLA; POPULATION-CHANGES; GEORGIA; COMPETITION; GIGANTEUS</t>
  </si>
  <si>
    <t>Northern (Macronectes halli) and southern (M. giganteus) giant petrels breed at different times at sub-Antarctic Marion Island. Long-term census and breeding success data are used to test for competitive overlap between the two species by correlating population trends with those of land-based prey/carrion species. No parameter was singularly important in population regulation of either giant petrel species and the assumed dependence of breeding northern giant petrels on southern elephant seal Mirounga leonina carrion is not entirely supported.</t>
  </si>
  <si>
    <t>Univ Pretoria, Mammal Res Inst, Dept Zool &amp; Entomol, ZA-0002 Pretoria, South Africa; Univ Cape Town, Dept Stat Sci, Avian Demog Unit, ZA-7701 Rondebosch, South Africa</t>
  </si>
  <si>
    <t>University of Pretoria; University of Cape Town</t>
  </si>
  <si>
    <t>De Bruyn, PJN (corresponding author), Univ Pretoria, Mammal Res Inst, Dept Zool &amp; Entomol, ZA-0002 Pretoria, South Africa.</t>
  </si>
  <si>
    <t>pjndebruyn@zoology.up.ac.za</t>
  </si>
  <si>
    <t>de Bruyn, P. J. Nico/E-4176-2010; Bester, Marthán N/E-5387-2010; Tosh, Cheryl/D-5623-2016</t>
  </si>
  <si>
    <t>de Bruyn, P. J. Nico/0000-0002-9114-9569; Tosh, Cheryl/0000-0003-0243-5422</t>
  </si>
  <si>
    <t>10.1017/S0954102007000053</t>
  </si>
  <si>
    <t>WOS:000244918600005</t>
  </si>
  <si>
    <t>Kooyman, GL; Ainley, DG; Ballard, G; Ponganis, PJ</t>
  </si>
  <si>
    <t>Kooyman, Gerald L.; Ainley, David G.; Ballard, Grant; Ponganis, Paul J.</t>
  </si>
  <si>
    <t>Effects of giant icebergs on two emperor penguin colonies in the Ross Sea, Antarctica</t>
  </si>
  <si>
    <t>Aptenodytes forsteri; Beaufort Island; B15A; Cape Crozier; Ross Ice shelf</t>
  </si>
  <si>
    <t>APTENODYTES-FORSTERI; CAPE CROZIER; MOLT; HABITAT; WINTER; TRAVEL; SHELF</t>
  </si>
  <si>
    <t>The arrival in January 2001 in the south-west Ross Sea of two giant icebergs, C16 and Bl5A, subsequently had dramatic affects on two emperor penguin colonies. B15A collided with the north-west tongue of the Ross Ice Shelf at Cape Crozier, Ross Island, in the following months and destroyed the penguins' nesting habitat. The colony totally failed in 2001, and years after, with the icebergs still in place, exhibited reduced production that ranged from 0 to 40% of the 1201 chicks produced in 2000. At Beaufort Island, 70 km NW of Crozier, chick production declined to 6% of the 2000 count by 2004. Collisions with the Ross Ice Shelf at Cape Crozier caused incubating adults to be crushed, trapped in ravines, or to abandon the colony and, since 2001, to occupy poorer habitat. The icebergs separated Beaufort Island from the Ross Sea Polynya, formerly an easy route to feeding and wintering areas. This episode has provided a glimpse of events which have probably occurred infrequently since the West Antarctic Ice Sheet began to retreat 12 000 years ago. The results allow assessment of recovery rates for one colony decimated by both adult and chick mortality, and the other colony by adult abandonment and chick mortality.</t>
  </si>
  <si>
    <t>Univ Calif San Diego, Scripps Inst Oceanog, La Jolla, CA 92093 USA; HT Harvey &amp; Associates, San Jose, CA 95118 USA; PRBO Conservat Sci, Bolinas, CA 94924 USA; Univ Auckland, Sch Biol Sci, Auckland 1, New Zealand</t>
  </si>
  <si>
    <t>University of California System; University of California San Diego; Scripps Institution of Oceanography; University of Auckland</t>
  </si>
  <si>
    <t>Kooyman, GL (corresponding author), Univ Calif San Diego, Scripps Inst Oceanog, Scholander Hall, La Jolla, CA 92093 USA.</t>
  </si>
  <si>
    <t>gkooyman@ucsd.edu</t>
  </si>
  <si>
    <t>, gerald/0000-0002-8872-2950</t>
  </si>
  <si>
    <t>10.1017/S0954102007000065</t>
  </si>
  <si>
    <t>WOS:000244918600006</t>
  </si>
  <si>
    <t>Lombard, AT; Reyers, B; Schonegevel, LY; Coopers, J; Smith-Adao, LB; Nel, DC; Froneman, PW; Ansorge, IJ; Bester, MN; Tosh, CA; Strauss, T; Akkers, T; Gon, O; Leslie, RW; Chown, SL</t>
  </si>
  <si>
    <t>Lombard, A. T.; Reyers, B.; Schonegevel, L. Y.; Coopers, J.; Smith-Adao, L. B.; Nel, D. C.; Froneman, P. W.; Ansorge, I. J.; Bester, M. N.; Tosh, C. A.; Strauss, T.; Akkers, T.; Gon, O.; Leslie, R. W.; Chown, S. L.</t>
  </si>
  <si>
    <t>Conserving pattern and process in the Southern Ocean: Designing a marine protected area for the Prince Edward Islands</t>
  </si>
  <si>
    <t>marine reserve design; pattern and process; sub-Antarctic; systematic conservation planning</t>
  </si>
  <si>
    <t>SHRIMP NAUTICARIS-MARIONIS; POLAR FRONTAL ZONE; INDIAN-OCEAN; DIOMEDEA-EXULANS; ELEPHANT SEALS; REAL-WORLD; FUR SEALS; CONSERVATION; POPULATION; DYNAMICS</t>
  </si>
  <si>
    <t>South Africa is currently proclaiming a Marine Protected Area (MPA) in the Exclusive Economic Zone (EEZ) of its sub-Antarctic Prince Edward Islands. The objectives of the MPA are to: 1) contribute to a national and global representative system of MPAs, 2) serve as a scientific reference point to inform future management, 3) contribute to the recovery of the Patagonian toothfish (Dissostichus eleginoides), and 4) reduce the bird bycatch of the toothfish fishery, particularly of albatrosses and petrels. This study employs systematic conservation planning methods to delineate a MPA within the EEZ that will conserve biodiversity patterns and processes within sensible management boundaries, while minimizing conflict with the legal toothfish fishery. After collating all available distributional data on species, benthic habitats and ecosystem processes, we used C-Plan software to delineate a MPA with three management zones: four IUCN Category la reserves (13% of EEZ); two Conservation Zones (21% of EEZ); and three Category IV reserves (remainder of EEZ). Compromises between conservation target achievement and the area required by the MPA are apparent in the final reserve design. The proposed MPA boundaries are expected to change over time as new data become available and as impacts of climate change become more evident.</t>
  </si>
  <si>
    <t>Univ Cape Town, Marine Biol Res Ctr, ZA-7701 Rondebosch, South Africa; CSIR, ZA-7599 Stellenbosch, South Africa; Univ Cape Town, Dept Stat Sci, Avian Demog Unit, ZA-7701 Rondebosch, South Africa; WWF SA, ZA-7613 Die Boord, South Africa; Rhodes Univ, Dept Zool &amp; Entomol, So Ocean Grp, ZA-6140 Grahamstown, South Africa; Univ Cape Town, Dept Oceanog, ZA-7701 Rondebosch, South Africa; Univ Pretoria, Sch Biol Sci, Mammal Res Inst, Dept Zool &amp; Entomol, ZA-0002 Pretoria, South Africa; Nelson Mandela Metropolitan Univ, Dept Nat Conservat, ZA-6530 George, South Africa; Dept Environm Affairs &amp; Tourism, Marine &amp; Coastal Management Branch, ZA-8012 Cape Town, South Africa; S African Inst Aquat Biodivers, ZA-6140 Grahamstown, South Africa; Univ Stellenbosch, Ctr Invas Biol, Dept Bot &amp; Zool, ZA-7602 Matieland, South Africa</t>
  </si>
  <si>
    <t>University of Cape Town; Council for Scientific &amp; Industrial Research (CSIR) - South Africa; University of Cape Town; World Wildlife Fund; Rhodes University; University of Cape Town; University of Pretoria; Nelson Mandela University; National Research Foundation - South Africa; South African Institute for Aquatic Biodiversity; Stellenbosch University</t>
  </si>
  <si>
    <t>Lombard, AT (corresponding author), Univ Cape Town, Marine Biol Res Ctr, ZA-7701 Rondebosch, South Africa.</t>
  </si>
  <si>
    <t>gemsbok@mweb.co.za</t>
  </si>
  <si>
    <t>Chown, Steven L/H-3347-2011; Tosh, Cheryl/D-5623-2016; Froneman, William/GLS-0460-2022; Reyers, Belinda/AAF-6225-2019; Lombard, Mandy/AAE-4649-2019; Bester, Marthán N/E-5387-2010; ANSORGE, ISABELLE/AAY-7396-2020; Chown, Steven/ABD-7646-2021; Froneman, William/C-9085-2012</t>
  </si>
  <si>
    <t>Tosh, Cheryl/0000-0003-0243-5422; Froneman, William/0000-0003-0615-1355; Reyers, Belinda/0000-0002-2194-8656; Lombard, Mandy/0000-0002-4323-1170; Ansorge, Isabelle/0000-0001-7071-8147; Leslie, Rob/0000-0003-2693-3469; SMITH ADAO, LINDIE/0009-0007-5178-7711</t>
  </si>
  <si>
    <t>10.1017/S0954102007000077</t>
  </si>
  <si>
    <t>WOS:000244918600007</t>
  </si>
  <si>
    <t>Cook, TR; Cherel, Y; Bost, CA; Tremblayz, M</t>
  </si>
  <si>
    <t>Cook, Timothee R.; Cherel, Yves; Bost, Charles-Andre; Tremblayz, Mann</t>
  </si>
  <si>
    <t>Chick-rearing Crozet shags (Phalacrocorax melanogenis) display sex-specific foraging behaviour</t>
  </si>
  <si>
    <t>blue-eyed shags; diving behaviour; ecological selection; niche divergence; sexual dimorphism; time-budget</t>
  </si>
  <si>
    <t>SOUTH-SHETLAND ISLANDS; BLUE-EYED SHAG; DIVING BEHAVIOR; KING CORMORANTS; WANDERING ALBATROSSES; JAPANESE CORMORANTS; ROCKHOPPER PENGUINS; NICHE UTILIZATION; GEORGIAN SHAGS; TIME BUDGET</t>
  </si>
  <si>
    <t>We compared, for the first time the foraging ecology of both sexes of the blue-eyed Crozet shag (Phalacrocorax melanogenis), using ventrally attached time depth recorders to investigate differences in time-budget and diving behaviour between the sexes during the chick-rearing. Males were the only ones to dive over 55 m. Females dived mostly between 15 and 35 m, a zone poorly used by males. Females foraged mostly in the morning and males in the afternoon. Females also spent one hour longer diving per day compared to males. There were differences in diving strategies and diet, indicating that both sexes targeted essentially the same prey, but of different sizes, males specializing in bigger fish. Although the relationship between sexual dimorphism and diving depth was positive (larger animals diving deeper), evidence suggests that body size (in terms of oxygen storage capacity) is not sufficient to explain so many differences in foraging ecology. Instead, we propose prey size (possibly driven by a limitation of prey handling ability in relation to beak size) could be an essential factor in shaping the male/female behavioural segregation in the Crozet shag; future studies should concentrate on this particular aspect.</t>
  </si>
  <si>
    <t>CNRS, CEBC, UPR 1934, F-79360 Beauvoir Sur Niort, France; Univ Calif Santa Cruz, Long Marine Lab, Santa Cruz, CA 95060 USA</t>
  </si>
  <si>
    <t>Centre National de la Recherche Scientifique (CNRS); University of California System; University of California Santa Cruz</t>
  </si>
  <si>
    <t>Cook, TR (corresponding author), CNRS, CEBC, UPR 1934, F-79360 Beauvoir Sur Niort, France.</t>
  </si>
  <si>
    <t>cook@cebc.cnrs.fr</t>
  </si>
  <si>
    <t>Cook, Timothee/0000-0003-2354-824X</t>
  </si>
  <si>
    <t>10.1017/S0954102007000089</t>
  </si>
  <si>
    <t>WOS:000244918600008</t>
  </si>
  <si>
    <t>La Mesa, M; Caputo, V; Eastman, JT</t>
  </si>
  <si>
    <t>La Mesa, Mario; Caputo, Vincenzo; Eastman, Joseph T.</t>
  </si>
  <si>
    <t>Gametogenesis in the dragonfishes Akarotaxis nudiceps and Bathydraco marri (Pisces, Notothenioidei: Bathydraconidae) from the Ross Sea</t>
  </si>
  <si>
    <t>Antarctica; bathydraconid; histology; oogenesis; reproduction; spermatogenesis</t>
  </si>
  <si>
    <t>HISTOLOGICAL ANALYSIS; REPRODUCTIVE-BIOLOGY; OOCYTE GROWTH; WEDDELL-SEA; FISH; ANTARCTICA; SPERMATOGENESIS; CHANNICHTHYIDAE; OOGENESIS; TELEOSTS</t>
  </si>
  <si>
    <t>We analysed histological characteristics of gonads and reproductive effort of the small deep-living dragonfishes Akarotaxis nudiceps (Waite) and Bathydraco marri Norman collected in the southwestern Ross Sea. From a macroscopic point of view, most specimens of B. marri were juveniles in early stages of gonad maturity, except for a maturing female. Conversely, the sample of A. nudiceps was composed of both immature and adult fish in different stages of maturity. A single A. nudiceps female was mature with a gonadosomatic index of 9.8%. Its absolute and relative fecundity was 260 oocytes and 31.5 oocytes g(-1) TW, respectively, with a mean size of ripe oocytes of 1.9 mm. Gametogenesis in both species closely resembled that observed in other notothenioids, with females possessing two well-defined groups of oocytes. One group consisted of previtellogenic oocytes as a reserve stock while the other group was maturing oocytes to be ovulated in the current spawning season. A distinctive feature of oogenesis in recovering and maturing females of A. nudiceps was the presence of both postovulatory follicles in different stages of reabsorption and atretic oocytes. Based on low absolute fecundity, it is possible that A. nudiceps provides parental care and egg guarding.</t>
  </si>
  <si>
    <t>CNR, ISMAR, Ist Sci Marine, I-60125 Ancona, Italy; Univ Politecn Marche, Ist Biol &amp; Genet, I-60131 Ancona, Italy; Ohio Univ, Coll Osteopath Med, Dept Biomed Sci, Athens, OH 45701 USA</t>
  </si>
  <si>
    <t>Consiglio Nazionale delle Ricerche (CNR); Istituto di Scienze Marine (ISMAR-CNR); Marche Polytechnic University; University System of Ohio; Ohio University</t>
  </si>
  <si>
    <t>La Mesa, M (corresponding author), CNR, ISMAR, Ist Sci Marine, Sede Ancona,Largo Fiera Pesca, I-60125 Ancona, Italy.</t>
  </si>
  <si>
    <t>m.lamesa@ismar.cnr.it</t>
  </si>
  <si>
    <t>Eastman, Joseph T/A-9786-2008; Eastman, Joseph T./O-6150-2019; CNR, Ismar/P-1247-2014</t>
  </si>
  <si>
    <t>Eastman, Joseph T./0000-0003-3868-261X; CNR, Ismar/0000-0001-5351-1486</t>
  </si>
  <si>
    <t>10.1017/S0954102007000090</t>
  </si>
  <si>
    <t>WOS:000244918600009</t>
  </si>
  <si>
    <t>Seymour, FA; Crittenden, PD; Wirtz, N; Ovstedal, DO; Dyer, PS; Lumbsch, HT</t>
  </si>
  <si>
    <t>Seymour, Fabian A.; Crittenden, Peter D.; Wirtz, Nora; Ovstedal, Dag O.; Dyer, Paul S.; Lumbsch, H. Thorsten</t>
  </si>
  <si>
    <t>Phylogenetic and morphological analysis of Antarctic lichenforming Usnea species in the group neuropogon</t>
  </si>
  <si>
    <t>Ascomycota; bipolar; lichens; Parmeliaceae; species circumscription; taxonomy</t>
  </si>
  <si>
    <t>LICHENIZED FUNGI; RIBOSOMAL DNA; PAIR CONCEPT; PARMELIACEAE; ASCOMYCOTA; SEQUENCE; SYSTEMS; RDNA; CLASSIFICATION; SEPARATION</t>
  </si>
  <si>
    <t>Usnea species of the Neuropogon group are amongst the most widespread and abundant macrolichens in Antarctic regions. Four principal species, U. antarctica, U. aurantiaco-atra, U. sphacelata and U. subantarctica, have been described on morphological grounds. However, identification to species level is often difficult and atypical morphologies frequently arise. Over 400 specimens were collected on the Antarctic Peninsula and Falkland Islands. Both morphological and molecular characters (ITS and RPB1) were used to compare samples to clarify taxonomic relationships. Morphological characteristics used included presence of apothecia, apothecial rays, soredia, papillae, fibrils, pigmentation and the diameter of the central axis as a proportion of branch diameter. Results revealed a very close relationship between U. antarctica and U. aurantiaco-atra, suggesting that they might constitute a species pair or be conspecific. Usnea sphacelata was comprised of at least two genetically distinct groups with no clear differences in morphology. One group included the first reported fertile specimen of this species. Usnea subantarctica was phylogenetically distinct from the other main Antarctic Usnea species, but clustered with U. trachycarpa. Genetic variation was evident within all species although there was no clear correlation between geographic origin and genetic relatedness. Phylogenetic analyses indicated that species circumscription in the Neuropogon group needs revision, with the principal species being non-monophyletic. None of the morphological characters, or groups of characters, used in this study proved to be completely unambiguous markers for a single species. However, axis thickness was supported as being informative for the identification of monophyletic lineages within the group.</t>
  </si>
  <si>
    <t>Univ Nottingham, Sch Biol, Nottingham NG7 2RD, England; Field Museum Nat Hist, Dept Bot, Chicago, IL 60605 USA; Univ Bergen, DNS, Bergen Museum, N-5007 Bergen, Norway</t>
  </si>
  <si>
    <t>University of Nottingham; Field Museum of Natural History (Chicago); University of Bergen</t>
  </si>
  <si>
    <t>Crittenden, PD (corresponding author), Univ Nottingham, Sch Biol, Univ Pk, Nottingham NG7 2RD, England.</t>
  </si>
  <si>
    <t>peter.crittenden@nottingham.ac.uk</t>
  </si>
  <si>
    <t>Lumbsch, Thorsten/K-3573-2012</t>
  </si>
  <si>
    <t>Dyer, Paul/0000-0003-0237-026X</t>
  </si>
  <si>
    <t>10.1017/S0954102007000107</t>
  </si>
  <si>
    <t>WOS:000244918600010</t>
  </si>
  <si>
    <t>Lazzara, L; Nardello, I; Ermanni, C; Mangoni, O; Saggiomo, V</t>
  </si>
  <si>
    <t>Lazzara, L.; Nardello, I.; Ermanni, C.; Mangoni, O.; Saggiomo, V.</t>
  </si>
  <si>
    <t>Light environment and seasonal dynamics of microalgae in the annual sea ice at Terra Nova Bay, Ross Sea, Antarctica</t>
  </si>
  <si>
    <t>bottom ice; diatoms; irradiance; platelet ice; shade adaptation</t>
  </si>
  <si>
    <t>PHOTOSYNTHESIS-IRRADIANCE RELATIONSHIPS; MCMURDO-SOUND; MICROBIAL COMMUNITIES; QUANTUM YIELD; PACK ICE; OCEAN; PHYTOPLANKTON; ABSORPTION; WATERS; PHOTOADAPTATION</t>
  </si>
  <si>
    <t>We investigated the physical conditions of the Spring pack ice environment at Terra Nova Bay to understand their influence on the structure and physiology of sympagic microalgae. Bio-optical methods were used to study the availability and spectral quality of solar radiation, both inside and underneath the ice cover. Pack ice thickness was around 2.5 m, with a temperature between -2 and -7 degrees C. On average, only 1.4% of surface PAR penetrated to the bottom ice and less than 0.6% below platelet ice level. Surface UV-B radiation under the bottom ice was 0.2-0.4%. Biomass concentrations up to 2400 mg Chl a m(-3), dominated by two species of diatoms (Entomoneis kjellmannii and Nitschia cf. stellata), showed marked spatial and temporal patterns. Maximum values were in the platelet ice during the first half of November, and in the bottom ice two weeks later. Strong shade adaptation characteristics emerged clearly and explained the relevant abundance of microalgae within the sea ice, with specific absorption coefficients (a*) as low as 0.005 m(2) (mg Chl a)(-1) and the photo-acclimation index (E(k)) in the range of in situ irradiance. The biomass specific production values were low, around 0.12-0.13 mg C mg Chl a(-1) h(-1). The hypothesis suggesting bottom ice colonization by platelet ice microalgae is supported here.</t>
  </si>
  <si>
    <t>Univ Florence, Dept Anim Biol &amp; Genet Leo Pardi, I-50121 Florence, Italy; Univ Naples Federico 2, Dept Zool, I-80134 Naples, Italy; Staz Zool Anton Dohrn, Naples, Italy; Old Dominion Univ, Norfolk, VA 23529 USA</t>
  </si>
  <si>
    <t>University of Florence; University of Naples Federico II; Stazione Zoologica Anton Dohrn di Napoli; Old Dominion University</t>
  </si>
  <si>
    <t>Lazzara, L (corresponding author), Univ Florence, Dept Anim Biol &amp; Genet Leo Pardi, I-50121 Florence, Italy.</t>
  </si>
  <si>
    <t>luigi.lazzara@unifi.it</t>
  </si>
  <si>
    <t>Lazzara, Luigi Carlo/C-6838-2012; nardello, ilaria/AAA-2296-2021</t>
  </si>
  <si>
    <t>Lazzara, Luigi Carlo/0000-0002-1351-9683;</t>
  </si>
  <si>
    <t>10.1017/S0954102007000119</t>
  </si>
  <si>
    <t>WOS:000244918600011</t>
  </si>
  <si>
    <t>Fredes, F; Madariaga, C; Raffo, E; Valencia, J; Herrera, M; Godoy, C; Alcaíno, H</t>
  </si>
  <si>
    <t>Fredes, Fernando; Madariaga, Cristian; Raffo, Eduardo; Valencia, Jose; Herrera, Marcela; Godoy, Claudia; Alcaino, Hector</t>
  </si>
  <si>
    <t>Gastrointestinal parasite fauna of gentoo penguins (Pygoscelis papua) from the Peninsula Munita, Bahia Paraiso, Antarctica</t>
  </si>
  <si>
    <t>Univ Chile, Fac Vet Med, Dept Prevent Anim Med, Santiago, Chile; Chilean Antarctic Inst, Dept Sci, Santiago, Chile</t>
  </si>
  <si>
    <t>Universidad de Chile</t>
  </si>
  <si>
    <t>Fredes, F (corresponding author), Univ Chile, Fac Vet Med, Dept Prevent Anim Med, Santiago, Chile.</t>
  </si>
  <si>
    <t>fredes@uchile.cl</t>
  </si>
  <si>
    <t>Fredes, Fernando/C-8739-2014; Valencia, Jose/IAO-2562-2023</t>
  </si>
  <si>
    <t>Fredes, Fernando/0000-0001-6677-5165; Raffo, Eduardo/0000-0001-9218-0632</t>
  </si>
  <si>
    <t>10.1017/S0954102007000120</t>
  </si>
  <si>
    <t>WOS:000244918600012</t>
  </si>
  <si>
    <t>Lauriano, G; Fortuna, CM; Vacchi, M</t>
  </si>
  <si>
    <t>Lauriano, Giancarlo; Fortuna, Caterina M.; Vacchi, Marino</t>
  </si>
  <si>
    <t>Observation of killer whale (Orcinus orca) possibly eating penguins in Terra Nova Bay, Antarctica</t>
  </si>
  <si>
    <t>BEHAVIOR</t>
  </si>
  <si>
    <t>Cent Inst Marine Res, I-00166 Rome, Italy; Univ Genoa, Museo Nazl Antartide, I-16132 Genoa, Italy</t>
  </si>
  <si>
    <t>University of Genoa</t>
  </si>
  <si>
    <t>Lauriano, G (corresponding author), Cent Inst Marine Res, Via Casalotti, I-00166 Rome, Italy.</t>
  </si>
  <si>
    <t>g.lauriano@icram.org</t>
  </si>
  <si>
    <t>Fortuna, Caterina Maria/J-7796-2016</t>
  </si>
  <si>
    <t>Fortuna, Caterina Maria/0000-0003-3036-5337; lauriano, giancarlo/0000-0003-3465-6078</t>
  </si>
  <si>
    <t>10.1017/S0954102007000132</t>
  </si>
  <si>
    <t>WOS:000244918600013</t>
  </si>
  <si>
    <t>Lisker, F; Wilson, CJL; Gibson, HJ</t>
  </si>
  <si>
    <t>Lisker, Frank; Wilson, Christopher J. L.; Gibson, Helen J.</t>
  </si>
  <si>
    <t>Thermal history of the Vestfold Hills (East Antarctica) between Lambert rifting and Gondwana break-up, evidence from apatite fission track data</t>
  </si>
  <si>
    <t>denudation; East Antarctic Craton; Princess Elisabeth Land; lambert graben; thermochronology</t>
  </si>
  <si>
    <t>PRINCE-CHARLES-MOUNTAINS; PRYDZ BAY; RAUER-GROUP; EVOLUTION; UPLIFT; EXHUMATION; CONSTRAINTS; EROSION; BASIN; LAND</t>
  </si>
  <si>
    <t>Analysis of five basement samples from the Vestfold Hills (East Antarctica) reveals pooled apatite fission track (FT) ages ranging from 188 to 264 Ma and mean lengths of 13.7 to 14.9 mu m. Quantitative thermal histories derived from these data give consistent results indicating onset of cooling/denudation began sometime prior to 240 Ma, with final cooling below 105 degrees-125 degrees C occurring between 240 and 220 Ma (Triassic). A Cretaceous denudation phase can be inferred from the sedimentary record of the Prydz Bay offshore the Vestfold Hills. The two denudational episodes are likely associated with Palaeozoic large-scale rifting processes that led to the formation of the adjacent Lambert Graben, and to the Cretaceous Gondwana break-up between Antarctica and India. Subsequent evolution of the East Antarctic passive continental margin likely occurred throughout the Cenozoic based on the depositional record in Prydz Bay and constraints (though tentative) from FT data.</t>
  </si>
  <si>
    <t>Univ Bremen, Fachbereich Geowisschsch, D-28334 Bremen, Germany; Univ Melbourne, Sch Earth Sci, Melbourne, Vic 3010, Australia</t>
  </si>
  <si>
    <t>University of Bremen; University of Melbourne; Melbourne Bioinformatics</t>
  </si>
  <si>
    <t>Lisker, F (corresponding author), Univ Bremen, Fachbereich Geowisschsch, D-28334 Bremen, Germany.</t>
  </si>
  <si>
    <t>flisker@uni-bremen.de</t>
  </si>
  <si>
    <t>Lisker, Frank/0000-0002-1615-7315</t>
  </si>
  <si>
    <t>10.1017/S0954102007000144</t>
  </si>
  <si>
    <t>WOS:000244918600014</t>
  </si>
  <si>
    <t>Capra, A; Mancini, F; Negusini, M</t>
  </si>
  <si>
    <t>Capra, Alessandro; Mancini, Francesco; Negusini, Monia</t>
  </si>
  <si>
    <t>GPS as a geodetic tool for geodynamics in northern Victoria Land, Antarctica</t>
  </si>
  <si>
    <t>displacements; monitoring; space geodesy; survey</t>
  </si>
  <si>
    <t>PLATE VELOCITIES; DEFORMATION</t>
  </si>
  <si>
    <t>The VLNDEF (Victoria Land Network for DEFormation control) project started in 1999 with the aim of detecting crustal deformation in Northern Victoria Land (Antarctica) over an area that had never been surveyed by a dense GPS network before. After a brief summary of the Italian geodetic activities carried out since 1991, the paper presents the results obtained from the processing of data collected from 1999 to 2003. In particular, processing strategies were dealt with, in order to produce horizontal and vertical displacement maps through GPS observations. Absolute motions in a global reference frame have been investigated using a double approach, which allowed us to make considerable progress in detecting movements and standardizing the data analysis. The analyses provide absolute horizontal velocities ranging between 17 mm yr(-1) and 8 mm yr(-1), with greater motions in the northernmost area. The subtraction of the rigid plate motion provides relative displacements, which may contribute to the understanding of neotectonics and geology, whereas the pattern of the vertical crustal motions detected, with average values of +1.3 mm yr(-1), is essential to detect the effect of Glacial Isostatic Adjustment (GIA) and other geophysical signals, and to redefine theory and numerical models used without any direct measurements.</t>
  </si>
  <si>
    <t>Politecn Bari, Dipartimento Architettura &amp; Urbanist, I-70125 Bari, Italy; Univ Modena, Dipartimento Ingn Meccan &amp; Civile, I-41100 Modena, Italy; Ist Nazl Astrofia, Ist Radioastron, I-40129 Bologna, Italy</t>
  </si>
  <si>
    <t>Politecnico di Bari; Universita di Modena e Reggio Emilia; Istituto Nazionale Astrofisica (INAF)</t>
  </si>
  <si>
    <t>Mancini, F (corresponding author), Politecn Bari, Dipartimento Architettura &amp; Urbanist, Via Orabona 4, I-70125 Bari, Italy.</t>
  </si>
  <si>
    <t>f.mancini@poliba.it</t>
  </si>
  <si>
    <t>Negusini, Monia/N-6493-2015; Mancini, Francesco/L-2937-2015; Capra, Alessandro/L-9743-2015</t>
  </si>
  <si>
    <t>Negusini, Monia/0000-0002-0064-5533; Mancini, Francesco/0000-0002-8553-345X; Capra, Alessandro/0000-0001-6660-3291</t>
  </si>
  <si>
    <t>10.1017/S0954102007000156</t>
  </si>
  <si>
    <t>WOS:000244918600015</t>
  </si>
  <si>
    <t>Hikuroa, DCH; Kaim, A</t>
  </si>
  <si>
    <t>Hikuroa, Daniel C. H.; Kaim, Andrzej</t>
  </si>
  <si>
    <t>New gastropods from the Jurassic of orville coast, Eastern Ellsworth Land, Antarctica</t>
  </si>
  <si>
    <t>Bathonian-Kimmeridgian; cerithioidea; eustomatidae; Gastropoda; Mollusca; Silberlingiella latadyensis sp nov.</t>
  </si>
  <si>
    <t>BASIN</t>
  </si>
  <si>
    <t>The Latady Group (southern Antarctic Peninsula) hosts the most diverse assemblage of Jurassic molluscs from this continent. A new gastropod mollusc, Silberlingiella latadyensis sp. nov. and three forms assigned to Rissoidae, Pseudomelaniidae and Bullinidae from the Middle-Late Jurassic, Bathonian-Kimmeridgian Hauberg Mountains Formation, Ellsworth Land, Antarctic Peninsula are described here. Silberlingiella is transferred to Eustomatidae and is the first confirmed record of this family in the Southern Hemisphere, indicating a much more widespread Jurassic distribution. The Triassic and Jurassic species of Silberlingiella are compared with the coeval European genus Diatinostoma. Eustomatidae is proposed as an ancestral group for Potamididae and Batillariidae. The composition of the gastropod association described herein differs markedly from the only other Antarctic Jurassic fauna from Alexander Island.</t>
  </si>
  <si>
    <t>Univ Auckland, Dept Geol, Auckland 1, New Zealand; Polish Acad Sci, Inst Paleobiol, PL-00818 Warsaw, Poland; Univ Tokyo, Dept Earth &amp; Planetary Sci, Tokyo 1138654, Japan</t>
  </si>
  <si>
    <t>University of Auckland; Polish Academy of Sciences; Institute of Paleobiology of the Polish Academy of Sciences; University of Tokyo</t>
  </si>
  <si>
    <t>Hikuroa, DCH (corresponding author), Univ Auckland, Dept Geol, POB 92019, Auckland 1, New Zealand.</t>
  </si>
  <si>
    <t>d.hikuroa@auckland.ac.nz</t>
  </si>
  <si>
    <t>Hikuroa, Dan C/AAH-1230-2021; Kaim, Andrzej/G-6244-2010</t>
  </si>
  <si>
    <t>Kaim, Andrzej/0000-0001-6186-5356; Hikuroa, Daniel/0000-0002-7340-7106</t>
  </si>
  <si>
    <t>10.1017/S0954102007000168</t>
  </si>
  <si>
    <t>WOS:000244918600016</t>
  </si>
  <si>
    <t>Wagner, B; Hultzsch, N; Melles, M; Gore, DB</t>
  </si>
  <si>
    <t>Wagner, Bernd; Hultzsch, Nadja; Melles, Martin; Gore, Damian B.</t>
  </si>
  <si>
    <t>Indications of holocene sea-level rise in Beaver Lake, East Antarctica</t>
  </si>
  <si>
    <t>deglaciation; sea-level change; sediment</t>
  </si>
  <si>
    <t>PRINCE-CHARLES MOUNTAINS; AMERY OASIS; PRYDZ BAY; LAMBERT GRABEN; RADOK LAKE; HISTORY; DEGLACIATION; PLEISTOCENE; SEDIMENTS; REGION</t>
  </si>
  <si>
    <t>A 100 cm long sediment sequence was recovered from Beaver Lake in Amery Oasis, East Antarctica, using gravity and piston corers. Sedimentological and mineralogical analyses and the absence of micro and macrofossils indicate that the sediments at the base of the sequence formed under glacial conditions, probably prior to c. 12 500 cal. yr BP. The sediments between c. 81 and 31 cm depth probably formed under subaerial conditions, indicating that isostatic uplift since deglaciation has been substantially less than eustatic sea-level rise and that large areas of the present-day floor of Beaver Lake must have been subaerially exposed following deglaciation. The upper 31 cm of the sediment sequence were deposited under glaciomarine conditions similar to those of today, supporting geomorphic observations that the Holocene was a period of relative sea-level highstand in Amery Oasis.</t>
  </si>
  <si>
    <t>Leibniz Inst Balt Sea Res, D-18119 Warnemunde, Germany; Alfred Wegener Inst Polar &amp; Marine Res, Res Unit Potsdam, D-14473 Potsdam, Germany; Univ Leipzig, Inst Geophys &amp; Geol, D-04103 Leipzig, Germany; Macquarie Univ, Dept Phys Geog, N Ryde, NSW 2109, Australia</t>
  </si>
  <si>
    <t>Leibniz Institut fur Ostseeforschung Warnemunde; Helmholtz Association; Alfred Wegener Institute, Helmholtz Centre for Polar &amp; Marine Research; Leipzig University; Macquarie University</t>
  </si>
  <si>
    <t>Wagner, B (corresponding author), Univ Cologne, Inst Geol &amp; Mineral, Zulpicher Str 49A, D-50674 Cologne, Germany.</t>
  </si>
  <si>
    <t>bernd.wagner@io-warnemuende.de</t>
  </si>
  <si>
    <t>Melles, Martin/J-4070-2012; Wagner, Bernd/J-4682-2012</t>
  </si>
  <si>
    <t>Melles, Martin/0000-0003-0977-9463; Wagner, Bernd/0000-0002-1369-7893; Hultzsch, Nadja/0000-0001-5545-8412; Gore, Damian/0000-0002-0377-8518</t>
  </si>
  <si>
    <t>10.1017/S095410200700017X</t>
  </si>
  <si>
    <t>WOS:000244918600017</t>
  </si>
  <si>
    <t>Moret, GJM; Huerta, AD</t>
  </si>
  <si>
    <t>Moret, Geoff J. M.; Huerta, Audrey D.</t>
  </si>
  <si>
    <t>Correcting GIS-based slope aspect calculations for the polar regions</t>
  </si>
  <si>
    <t>Penn State Univ, Dept Geosci, University Pk, PA 16802 USA</t>
  </si>
  <si>
    <t>Pennsylvania Commonwealth System of Higher Education (PCSHE); Pennsylvania State University; Pennsylvania State University - University Park</t>
  </si>
  <si>
    <t>Moret, GJM (corresponding author), Penn State Univ, Dept Geosci, University Pk, PA 16802 USA.</t>
  </si>
  <si>
    <t>gmoret@geosoc.psu.edu</t>
  </si>
  <si>
    <t>10.1017/S0954102007000181</t>
  </si>
  <si>
    <t>WOS:000244918600018</t>
  </si>
  <si>
    <t>Smith, JA; Bentley, MJ; Hodgson, DA; Cook, AJ</t>
  </si>
  <si>
    <t>Smith, James A.; Bentley, Michael J.; Hodgson, Dominic A.; Cook, Alison J.</t>
  </si>
  <si>
    <t>George VI Ice Shelf: past history, present behaviour and potential mechanisms for future collapse</t>
  </si>
  <si>
    <t>Antarctic Peninsula; Circumpolar Deep Water; ice shelf retreat; 20th century warming; quaternary history</t>
  </si>
  <si>
    <t>GRAHAM LAND EXPEDITION; LAST GLACIAL MAXIMUM; ANTARCTIC PENINSULA; ALEXANDER-ISLAND; SOUTHERN-OCEAN; MASS-BALANCE; PALMER DEEP; BREAK-UP; SOUND; HOLOCENE</t>
  </si>
  <si>
    <t>George VI Ice Shelf is the largest ice shelf on the west coast of the Antarctic Peninsula, covering a total area of 25 000 km(2). The northern ice front of George VI Ice Shelf presently marks the southernmost occurrence of recent ice-shelf retreat on the Antarctic Peninsula and according to some predictions the ice shelf is close to its thermal limit of stability. If these predictions are accurate and we are witnessing the first stages of retreat then it is critical that we take the opportunity to examine the ice shelf in its pre-collapse phase. This paper provides a review of the geological evolution, glaciology and interactions between the ocean and the atmosphere. We also discuss the present behaviour of the ice shelf, in the context of recent retreat of its northern and southern ice fronts, and outline several possible mechanisms for future ice shelf collapse. What emerges from this review is that the stability of George VI Ice Shelf is sensitive not only to the recent rapid regional atmospheric warming on the Antarctic Peninsula which has led to the gradual retreat of the northern and southern ice shelf fronts, but also to changes in ocean circulation, particularly intrusions of warm Upper Circumpolar Deep Water onto the continental shelf. It is likely that any future change in the stability of George VI Ice Shelf will involve a combined atmospheric and oceanic forcing.</t>
  </si>
  <si>
    <t>Univ Durham, Dept Geog, Durham DH1 3LE, England; British Antarctic Survey, NERC, Cambridge CB3 0ET, England</t>
  </si>
  <si>
    <t>Durham University; UK Research &amp; Innovation (UKRI); Natural Environment Research Council (NERC); NERC British Antarctic Survey</t>
  </si>
  <si>
    <t>Smith, JA (corresponding author), Univ Durham, Dept Geog, South Rd, Durham DH1 3LE, England.</t>
  </si>
  <si>
    <t>jaas@bas.ac.uk</t>
  </si>
  <si>
    <t>Smith, James A/N-1836-2013; Bentley, Michael J/F-7386-2011</t>
  </si>
  <si>
    <t>Bentley, Michael J/0000-0002-2048-0019</t>
  </si>
  <si>
    <t>10.1017/S0954102007000193</t>
  </si>
  <si>
    <t>WOS:000244918600019</t>
  </si>
  <si>
    <t>Jovanovic-Galovic, A; Blagojevic, DP; Grubor-Lajsic, G; Worland, MR; Spasic, MB</t>
  </si>
  <si>
    <t>Jovanovic-Galovic, A.; Blagojevic, D. P.; Grubor-Lajsic, G.; Worland, M. R.; Spasic, M. B.</t>
  </si>
  <si>
    <t>Antioxidant Defense in mitochondria during diapause and postdiapause development of European corn borer (Ostrinia nubilalis, Hubn.)</t>
  </si>
  <si>
    <t>ARCHIVES OF INSECT BIOCHEMISTRY AND PHYSIOLOGY</t>
  </si>
  <si>
    <t>Ostrinia; diapause; larvae; pupae; mitochondria; catalase; glutathione S-transferase; dehydroascorbate reductase</t>
  </si>
  <si>
    <t>GLUTATHIONE-S-TRANSFERASE; SUPEROXIDE-DISMUTASE; OXYGEN-CONSUMPTION; SALIVARY-GLANDS; COLD-HARDINESS; FAT-BODY; ENZYME; CATALASE; LIFE; DIFFERENTIATION</t>
  </si>
  <si>
    <t>Antioxidont enzymes (CAT, catalase; GPx, selenium nondependent glutathione peroxidase; GST, glutathione-S-transferose; GR, glutathione reductase; DHAR, dehydroascorbote reductase) were determined in the mitochondria of diapausing and non-diapausing larvae and pupae of both diapausing and non-diapausing larvae of the European corn borer (Ostrinia nubilalis, Hubn., Lepidoptera: Pyralidae). CAT, GST, and DHAR activity in mitochondria of diapausing larvae were reduced compared to non-diapausing larvae. Pupae of diapaused-larvae possessed lower GST, but higher DHAR activities compared to pupae of non-diapaused individuals. Comparison between larvae and pupae revealed lower GPx activity in the mitochondria of pupae. CAT activity in the mitochondria of pupae was higher compared to diapausing larvae, but lower than in non-diapausing ones. Correlation and canonical discriminant analyses revealed different antioxidant enzyme compositions for a particular stage and developmental pattern. Our results show that antioxidant enzymes have a similar role in the regulation of energetics in mitochondria as that in diapause and metamorphosis.</t>
  </si>
  <si>
    <t>Inst Biol Res, Dept Physiol, Belgrade 11060, Serbia; Univ Novi Sad, Fac Sci, Inst Biol, Novi Sad 21000, Serbia; British Antarctic Survey, Nat Environm Res Council, Cambridge CB3 0ET, England</t>
  </si>
  <si>
    <t>University of Belgrade; University of Novi Sad; UK Research &amp; Innovation (UKRI); Natural Environment Research Council (NERC); NERC British Antarctic Survey</t>
  </si>
  <si>
    <t>Blagojevic, DP (corresponding author), Inst Biol Res, Dept Physiol, Bulevar Despota Stefana 142, Belgrade 11060, Serbia.</t>
  </si>
  <si>
    <t>dblagoje@ibiss.bg.ac.yu</t>
  </si>
  <si>
    <t>Spasic, Mihajlo/AAE-9381-2020; Blagojević, Duško P/A-7739-2018</t>
  </si>
  <si>
    <t>Blagojević, Duško P/0000-0001-6338-2833; Jovanovic Galovic, Aleksandra/0000-0002-9488-9781; Spasic, Mihajlo/0000-0001-9046-0139</t>
  </si>
  <si>
    <t>0739-4462</t>
  </si>
  <si>
    <t>1520-6327</t>
  </si>
  <si>
    <t>ARCH INSECT BIOCHEM</t>
  </si>
  <si>
    <t>Arch. Insect Biochem. Physiol.</t>
  </si>
  <si>
    <t>10.1002/arch.20160</t>
  </si>
  <si>
    <t>Biochemistry &amp; Molecular Biology; Entomology; Physiology</t>
  </si>
  <si>
    <t>139PH</t>
  </si>
  <si>
    <t>WOS:000244443900001</t>
  </si>
  <si>
    <t>Medlin, L; Zingone, A</t>
  </si>
  <si>
    <t>Medlin, Linda; Zingone, Adriana</t>
  </si>
  <si>
    <t>A taxonomic review of the genus Phaeocystis</t>
  </si>
  <si>
    <t>BIOGEOCHEMISTRY</t>
  </si>
  <si>
    <t>Meeting of the Scientific-Committee on Oceanic Research</t>
  </si>
  <si>
    <t>AUG 30-SEP 03, 2005</t>
  </si>
  <si>
    <t>Univ Groningen, Haren, NETHERLANDS</t>
  </si>
  <si>
    <t>Univ Groningen</t>
  </si>
  <si>
    <t>molecular clock; Phaeocystis antarctica; P. cordata; P. globosa; P. jahnii; P. pouchetii; P. scrobiculata; rDNA analysis</t>
  </si>
  <si>
    <t>MARINE ALGA PHAEOCYSTIS; LIFE-CYCLE; POUCHETII PRYMNESIOPHYCEAE; MOLECULAR EVIDENCE; COASTAL WATERS; NORTH-SEA; BLOOMS; OCEAN; NANOPLANKTON; MORPHOLOGY</t>
  </si>
  <si>
    <t>Phaeocystis is recognized both as a nuisance and as an ecologically important phytoplankton species. Its polymorphic life cycle with both colonial and flagellated cells causes many taxonomic problems. Sequence variation among 22 isolates representing a global distribution of the genus has been compared using three molecular markers. The ribulose-1,5-bisphosphate carboxylase/oxygenase (RUBISCO) spacer is too conserved to resolve species. The most conserved 18S ribosomal deoxyribonucleic acid (rDNA) analysis suggests that an undescribed unicellular Phaeocystis sp. (isolate PLY559) is a sister taxon to the Mediterranean unicellular Phaeocystis jahnii; this clade branched prior to the divergence of all other Phaeocystis species, including the colonial ones. The internal transcribed spacer (ITS) region shows sufficient variation that some spatial population structure can be recovered, at least in P. antarctica. P. globosa and P. pouchetii have multiple different ITS copies, suggestive of cryptic species that are still able to hybridize. A molecular clock has been constructed that estimates the divergence of the cold water colonial forms from the warm-water colonial forms to be about 30 Ma and the divergence of P. antarctica and P. pouchetii to be about 15 Ma. A short description of the colonial stage and the flagellated stage for each formally recognized species is provided. Morphological information is also provided on a number of undescribed species. These include the strain Ply 559, consisting of non-colonial cells with peculiar tubular extrusomes, a second non-colonial species from the north western Mediterranean Sea producing a lot of mucus, and a colonial species with scale-less flagellates found in Italian waters. In addition, three flagellated morphotypes with scales different from those of P. antarctica were reported in the literature from Antarctic waters. The picture emerging from both molecular and morphological data is that the number of species in the genus is still underestimated and that cryptic or pseudocryptic diversity requires a sound assessment in future research of this genus. Based on all published observations, an emended description of the genus is provided.</t>
  </si>
  <si>
    <t>Alfred Wegener Inst Polar &amp; Marine Res, D-27570 Bremerhaven, Germany; Stn Zool A Dohrn, I-80121 Naples, Italy</t>
  </si>
  <si>
    <t>Helmholtz Association; Alfred Wegener Institute, Helmholtz Centre for Polar &amp; Marine Research; Stazione Zoologica Anton Dohrn di Napoli</t>
  </si>
  <si>
    <t>Medlin, L (corresponding author), Alfred Wegener Inst Polar &amp; Marine Res, Handelshafen 12, D-27570 Bremerhaven, Germany.</t>
  </si>
  <si>
    <t>lkmedlin@awi-bremerhaven.de</t>
  </si>
  <si>
    <t>medlin, linda k/G-4820-2010; Zingone, Adriana/E-4518-2010</t>
  </si>
  <si>
    <t>medlin, linda k/0000-0001-6014-8339; Zingone, Adriana/0000-0001-5946-6532</t>
  </si>
  <si>
    <t>0168-2563</t>
  </si>
  <si>
    <t>1573-515X</t>
  </si>
  <si>
    <t>Biogeochemistry</t>
  </si>
  <si>
    <t>10.1007/s10533-007-9087-1</t>
  </si>
  <si>
    <t>168ZE</t>
  </si>
  <si>
    <t>WOS:000246561700002</t>
  </si>
  <si>
    <t>Gaebler, S; Hayes, PK; Medlin, LK</t>
  </si>
  <si>
    <t>Gaebler, Steffi; Hayes, Paul K.; Medlin, Linda K.</t>
  </si>
  <si>
    <t>Methods used to reveal genetic diversity in the colony-forming prymnesiophytes Phaeocystis antarctica, P-globosa and P-pouchetii -: preliminary results</t>
  </si>
  <si>
    <t>AFLP; Microsatellite marker; Phaeocystis; P. antarctica; P. globosa; P. pouchetii</t>
  </si>
  <si>
    <t>OCEAN; AFLP</t>
  </si>
  <si>
    <t>Previous work on the genetic diversity of Phaeocystis used ribosomal DNA and internal transcribed spacer (ITS) sequence analyses to show that there is substantial inter- and intraspecific variation within the genus. First attempts to trace the biogeographical history of strains in Antarctic coastal waters were based on a comparison of ITS sequences. To gain deeper insights into the population structure and bloom dynamics of this microalga it is necessary to quantify the genetic diversity within populations of P. antarctica from different locations (i.e., each of the three major gyres in the Antarctic continental waters) and to calculate the gene flow between them. Here we describe methods to quantify genetic diversity and our preliminary results for P. antarctica in comparison to two other colonial species: P. globosa and P. pouchetii. For this study of genetic diversity, two fingerprinting techniques were used. First, amplified fragment-length polymorphisms (AFLPs) were established as a pre-screening tool to assess clone diversity and to select divergent clones prior to physiological investigations. Second, the more-powerful microsatellite markers were established to assess population structure and biogeography more accurately. Results show differences in the AFLP patterns between isolates of P. antarctica from different regions, and that a wide variety of microsatellite motifs could be obtained from the three Phaeocystis species.</t>
  </si>
  <si>
    <t>Alfred Wegener Inst Polar &amp; Marine Res, D-27570 Bremerhaven, Germany; Univ Bristol, Sch Biol Sci, Bristol BS8 1UG, Avon, England</t>
  </si>
  <si>
    <t>Helmholtz Association; Alfred Wegener Institute, Helmholtz Centre for Polar &amp; Marine Research; University of Bristol</t>
  </si>
  <si>
    <t>Gaebler, S (corresponding author), Alfred Wegener Inst Polar &amp; Marine Res, Handelshafen 12, D-27570 Bremerhaven, Germany.</t>
  </si>
  <si>
    <t>sgaebler@awi-bremerhaven.de</t>
  </si>
  <si>
    <t>medlin, linda k/G-4820-2010</t>
  </si>
  <si>
    <t>medlin, linda k/0000-0001-6014-8339</t>
  </si>
  <si>
    <t>10.1007/s10533-007-9084-4</t>
  </si>
  <si>
    <t>WOS:000246561700003</t>
  </si>
  <si>
    <t>van Leeuwe, MA; Stefels, J</t>
  </si>
  <si>
    <t>van Leeuwe, M. A.; Stefels, J.</t>
  </si>
  <si>
    <t>Photosynthetic responses in Phaeocystis antarctica towards varying light and iron conditions</t>
  </si>
  <si>
    <t>fluorescence; iron; light; Phaeocystis; pigments; Xanthophyll cycling</t>
  </si>
  <si>
    <t>CHLOROPHYLL FLUORESCENCE; PHYTOPLANKTON BIOMASS; SOUTHERN-OCEAN; BIOCHEMICAL-COMPOSITION; SP. PRYMNESIOPHYCEAE; MARINE DIATOM; LIMITATION; STRESS; BACILLARIOPHYCEAE; PHOTOACCLIMATION</t>
  </si>
  <si>
    <t>The effects of iron limitation on photoacclimation to a dynamic light regime were studied in Phaeocystis antarctica. Batch cultures were grown under a sinusoidal light regime, mimicking vertical mixing, under both iron-sufficient and -limiting conditions. Iron-replete cells responded to changes in light intensity by rapid xanthophyll cycling. Maximum irradiance coincided with maximum ratios of diatoxanthin/diadinoxanthin (dt/dd). The maximum quantum yield of photosynthesis (F-v /F-m) was negatively related to both irradiance and dt/dd. Full recovery of F-v /F-m by the end of the light period suggested successful photoacclimation. Iron-limited cells displayed characteristics of high light acclimation. The ratio of xanthophyll pigments to chlorophyll a was three times higher compared to iron-replete cells. Down-regulation of photosynthetic activity was moderated. It is argued that under iron limitation cells maintain a permanent state of high energy quenching to avoid photoinhibition during exposure to high irradiance. Iron-limited cells could maintain a high growth potential due to an increased absorption capacity as recorded by in vivo absorption, which balanced a decrease in F-v/F-m . The increase in the chlorophyll a-specific absorption cross section was related to an increase in carotenoid pigments and a reduction in the package effect. These experiments show that P. antarctica can acclimate successfully to conditions as they prevail in the Antarctic ocean, which may explain the success of this species.</t>
  </si>
  <si>
    <t>Univ Groningen, Ctr Biol, Lab Plant Physiol, NL-9750 AA Haren, Netherlands; Univ Groningen, Ctr Biol, Dept Marine Biol, Haren, Netherlands</t>
  </si>
  <si>
    <t>University of Groningen; University of Groningen</t>
  </si>
  <si>
    <t>Stefels, J (corresponding author), Univ Groningen, Ctr Biol, Lab Plant Physiol, POB 14, NL-9750 AA Haren, Netherlands.</t>
  </si>
  <si>
    <t>j.stefels@rug.nl</t>
  </si>
  <si>
    <t>10.1007/s10533-007-9083-5</t>
  </si>
  <si>
    <t>hybrid, Green Submitted</t>
  </si>
  <si>
    <t>WOS:000246561700006</t>
  </si>
  <si>
    <t>Sedwick, PN; Garcia, NS; Riseman, SF; Marsay, CM; DiTullio, GR</t>
  </si>
  <si>
    <t>Sedwick, P. N.; Garcia, N. S.; Riseman, S. F.; Marsay, C. M.; DiTullio, G. R.</t>
  </si>
  <si>
    <t>Evidence for high iron requirements of colonial Phaeocystis antarctica at low irradiance</t>
  </si>
  <si>
    <t>iron; light; Phaeocystis antarctica; Ross Sea</t>
  </si>
  <si>
    <t>NATURAL ORGANIC-LIGANDS; ROSS SEA ANTARCTICA; PHYTOPLANKTON GROWTH; SOUTHERN-OCEAN; NORTH PACIFIC; BIOCHEMICAL-COMPOSITION; HYDROXIDE SOLUBILITY; SP. PRYMNESIOPHYCEAE; CIRCUMPOLAR CURRENT; TRACE-ELEMENTS</t>
  </si>
  <si>
    <t>We have carried out field and laboratory experiments to examine the iron requirements of colonial Phaeocystis antarctica in the Ross Sea. In December 2003, we performed an iron/light-manipulation bioassay experiment in the Ross Sea polynya, using an algal assemblage dominated by colonial Phaeocystis antarctica, collected from surface waters with an ambient dissolved Fe concentration of similar to 0.4 nM. Results from this experiment suggest that P. antarctica growth rates were enhanced at high irradiance (similar to 50% of incident surface irradiance) but were unaffected by iron addition, and that elevated irradiance mediated a significant decrease in cellular chlorophyll a content. We also conducted a laboratory iron dose-response bioassay experiment using a unialgal, non-axenic strain of colonial P. antarctica and low-iron (&lt; 0.2 nM) filtered seawater, both collected from the Ross Sea polynya in December 2003. By using rigorous trace-metal clean techniques, we performed this dose-response iron-addition experiment at similar to 0 degrees C without using organic chelating reagents to control dissolved iron levels. At the relatively low irradiance of this experiment (similar to 20 mu E m(-2) s(-1)), estimated nitrate-specific growth rate as a function of dissolved iron concentration can be described by a Monod relationship, yielding a half-saturation constant with respect to growth of 0.45 nM dissolved iron. This value is relatively high compared to reported estimates for other Antarctic phytoplankton. Our results suggest that seasonal changes in the availability of both iron and light play critical roles in limiting the growth and biomass of colonial Phaeocystis antarctica in the Ross Sea polynya.</t>
  </si>
  <si>
    <t>Bermuda Biol Stn Res, St Georges GE01, Bermuda; Coll Charleston, Charleston, SC 29412 USA</t>
  </si>
  <si>
    <t>College of Charleston</t>
  </si>
  <si>
    <t>Sedwick, PN (corresponding author), Bermuda Biol Stn Res, St Georges GE01, Bermuda.</t>
  </si>
  <si>
    <t>psedwick@bbsr.edu</t>
  </si>
  <si>
    <t>Marsay, Christopher/0000-0003-1244-0444; Sedwick, Peter/0000-0003-0663-8323</t>
  </si>
  <si>
    <t>10.1007/s10533-007-9081-7</t>
  </si>
  <si>
    <t>WOS:000246561700008</t>
  </si>
  <si>
    <t>Becquevort, S; Lancelot, C; Schoemann, V</t>
  </si>
  <si>
    <t>Becquevort, S.; Lancelot, C.; Schoemann, V.</t>
  </si>
  <si>
    <t>The role of iron in the bacterial degradation of organic matter derived from Phaeocystis antarctica</t>
  </si>
  <si>
    <t>bacterioplankton; iron; organic matter; Phaeocystis antarctica; remineralisation</t>
  </si>
  <si>
    <t>CALIFORNIA UPWELLING REGIME; EQUATORIAL PACIFIC-OCEAN; ROSS SEA; SOUTHERN-OCEAN; PRIMARY PRODUCTIVITY; MARINE-BACTERIA; NORTH-SEA; BIOCHEMICAL-COMPOSITION; PHYTOPLANKTON BIOMASS; CIRCUMPOLAR CURRENT</t>
  </si>
  <si>
    <t>In high-nutrient low-chlorophyll areas, bacterial degradation of organic matter may be iron-limited. The response of heterotrophic bacteria to Fe addition may be directly controlled by Fe availability and/or indirectly controlled through the effect of enhanced phytoplankton productivity and the subsequent supply of organic matter suitable for bacteria. In the present study, the role of Fe on bacterial carbon degradation was investigated through regrowth experiments by monitoring bacterial response to organic substrates derived from Phaeocystis antarctica cultures set up in &lt; 1 nM Fe (LFe) and in Fe-amended (HFe) Antarctic seawater. Results showed an impact of Fe addition on the morphotype dominance (colonies vs. single cells) of P. antarctica and on the quality of Phaeocystis-derived organic matter. Fe addition leaded to a decrease of C/N ratio of Phaeocystis material. The bacterial community composition was modified as observed from denaturing gradient gel electrophoresis (DGGE) profiles in LFe as compared to HFe bioassays. The percentage of active bacteria as well as their specific metabolic activities (ectoenzymatic hydrolysis, growth rates and bacterial growth efficiency) were enhanced in HFe bioassays. As a consequence, the lability of Phaeocystis-derived organic matter was altered, i.e., after seven days more than 90% was degraded in HFe and only 9% (dissolved) and 55% (total) organic carbon were degraded in LFe bioassays. By inducing increased bacterial degradation and preventing the accumulation of dissolved organic carbon, the positive effect of Fe supply on the carbon biological pump may partly be counteracted.</t>
  </si>
  <si>
    <t>Free Univ Brussels, B-1050 Brussels, Belgium</t>
  </si>
  <si>
    <t>Universite Libre de Bruxelles</t>
  </si>
  <si>
    <t>Becquevort, S (corresponding author), Free Univ Brussels, Campus Plaine,Bd Triomphe,CP 221, B-1050 Brussels, Belgium.</t>
  </si>
  <si>
    <t>sbecq@ulb.ac.be</t>
  </si>
  <si>
    <t>10.1007/s10533-007-9079-1</t>
  </si>
  <si>
    <t>WOS:000246561700010</t>
  </si>
  <si>
    <t>Nejstgaard, JC; Tang, KW; Steinke, M; Dutz, J; Koski, M; Antajan, E; Long, JD</t>
  </si>
  <si>
    <t>Nejstgaard, Jens C.; Tang, Kam W.; Steinke, Michael; Dutz, Joerg; Koski, Marja; Antajan, Elvire; Long, Jeremy D.</t>
  </si>
  <si>
    <t>Zooplankton grazing on Phaeocystis:: a quantitative review and future challenges</t>
  </si>
  <si>
    <t>colony formation; DMS; gut pigment; molecular methods; microzooplankton; Phaeocystis; antarctica; predator defense</t>
  </si>
  <si>
    <t>POUCHETII HARIOT LAGERHEIM; SOUTHERN NORTH-SEA; TEMORA-LONGICORNIS COPEPODA; ANTARCTIC POLAR FRONT; DUTCH COASTAL WATERS; PLANKTONIC FOOD-WEB; SPRING BLOOM; DIMETHYL SULFIDE; GLOBOSA PRYMNESIOPHYCEAE; CHEMICAL DEFENSE</t>
  </si>
  <si>
    <t>The worldwide colony-forming haptophyte phytoplankton Phaeocystis spp. are key organisms in trophic and biogeochemical processes in the ocean. Many organisms from protists to fish ingest cells and/or colonies of Phaeocystis. Reports on specific mortality of Phaeocystis in natural plankton or mixed prey due to grazing by zooplankton, especially protozooplankton, are still limited. Reported feeding rates vary widely for both crustaceans and protists feeding on even the same Phaeocystis types and sizes. Quantitative analysis of available data showed that: (1) laboratory-derived crustacean grazing rates on monocultures of Phaeocystis may have been overestimated compared to feeding in natural plankton communities, and should be treated with caution; (2) formation of colonies by P. globosa appeared to reduce predation by small copepods (e.g., Acartia, Pseudocalanus, Temora and Centropages), whereas large copepods (e.g., Calanus spp.) were able to feed on colonies of Phaeocystis pouchetii; (3) physiological differences between different growth states, species, strains, cell types, and laboratory culture versus natural assemblages may explain most of the variations in reported feeding rates; (4) chemical signaling between predator and prey may be a major factor controlling grazing on Phaeocystis; (5) it is unclear to what extent different zooplankton, especially protozooplankton, feed on the different life forms of Phaeocystis in situ. To better understand the mechanisms controlling zooplankton grazing in situ, future studies should aim at quantifying specific feeding rates on different Phaeocystis species, strains, cell types, prey sizes and growth states, and account for chemical signaling between the predator and prey. Recently developed molecular tools are promising approaches to achieve this goal in the future.</t>
  </si>
  <si>
    <t>Univ Bergen, Dept Biol, UNIFOB AS, Bergen High Technol Ctr, N-5020 Bergen, Norway; Danish Inst Fisheries Res, DK-2920 Charlottenlund, Denmark; Univ Paris 06, Lab Oceanog Villefranche, F-06230 Villefranche Sur Mer, France; Virginia Inst Marine Sci, Gloucester Point, VA 23062 USA; Univ Essex, Dept Sci Biol, Colchester CO4 3SQ, Essex, England; CNRS, Lab Oceanog Villefranche, F-06230 Villefranche Sur Mer, France; Inst Baltic Sea Res, D-18119 Rostock, Germany; Northeastern Univ, Ctr Marine Sci, Nahant, MA 01908 USA</t>
  </si>
  <si>
    <t>University of Bergen; Sorbonne Universite; William &amp; Mary; Virginia Institute of Marine Science; University of Essex; Sorbonne Universite; Centre National de la Recherche Scientifique (CNRS); Leibniz Institut fur Ostseeforschung Warnemunde; Northeastern University</t>
  </si>
  <si>
    <t>Nejstgaard, JC (corresponding author), Univ Bergen, Dept Biol, UNIFOB AS, Bergen High Technol Ctr, N-5020 Bergen, Norway.</t>
  </si>
  <si>
    <t>jens.nejstgaard@bio.uib.no</t>
  </si>
  <si>
    <t>Steinke, Michael/A-6137-2012; Nejstgaard, Jens/ABB-8903-2020</t>
  </si>
  <si>
    <t>Steinke, Michael/0000-0001-6820-0154; Nejstgaard, Jens/0000-0003-1236-0647; Koski, Marja/0000-0002-1860-9768; Antajan, Elvire/0000-0001-8773-9075</t>
  </si>
  <si>
    <t>10.1007/s10533-007-9098-y</t>
  </si>
  <si>
    <t>WOS:000246561700012</t>
  </si>
  <si>
    <t>Björn, LO</t>
  </si>
  <si>
    <t>Bjorn, Lars Olof</t>
  </si>
  <si>
    <t>Stratospheric ozone, ultraviolet radiation, and cryptogams</t>
  </si>
  <si>
    <t>algae; ferns; fungi; lichens; mosses; nitrogen fixation; ozone depletion; UV-B</t>
  </si>
  <si>
    <t>UV-B-RADIATION; 2 AQUATIC BRYOPHYTES; DNA-DAMAGE; ANTARCTIC MOSS; MELANIN BIOSYNTHESIS; PHYLLOPLANE FUNGI; SOLAR-RADIATION; NM RADIATION; AMINO-ACIDS; GENE</t>
  </si>
  <si>
    <t>The stratospheric ozone layer, which protects the biosphere from biologically active (mostly harmful) ultraviolet-B (UV-B) solar radiation, thinned during the latter half of the 20th century. In this paper some of the effects of UV-B radiation on cryptogams (cyanobacteria, algae, lichens, mosses, liverworts, pteridophytes and fungi) are reviewed. Effects vary among species, and therefore changes in UV-B radiation may affect species frequencies. Effects also depend on other factors, such as water conditions. (c) 2006 Elsevier Ltd. All rights reserved.</t>
  </si>
  <si>
    <t>Lund Univ, Dept Cell &amp; Organism Biol, SE-22362 Lund, Sweden</t>
  </si>
  <si>
    <t>Lund University</t>
  </si>
  <si>
    <t>Björn, LO (corresponding author), Lund Univ, Dept Cell &amp; Organism Biol, Solvegatan 35, SE-22362 Lund, Sweden.</t>
  </si>
  <si>
    <t>Lars_Olof.Bjorn@cob.lu.se</t>
  </si>
  <si>
    <t>1873-2917</t>
  </si>
  <si>
    <t>10.1016/j.biocon.2006.10.006</t>
  </si>
  <si>
    <t>157CG</t>
  </si>
  <si>
    <t>WOS:000245695600003</t>
  </si>
  <si>
    <t>Elliott, KH; Davoren, GK; Gaston, AJ</t>
  </si>
  <si>
    <t>Elliott, Kyle H.; Davoren, Gall K.; Gaston, Anthony J.</t>
  </si>
  <si>
    <t>The influence of buoyancy, and drag on the dive behaviour of an Arctic seabird, the Thick-billed Murre</t>
  </si>
  <si>
    <t>FORAGING TRIP DURATION; WHALES PHYSETER-MACROCEPHALUS; DOLPHINS TURSIOPS-TRUNCATUS; GUILLEMOTS URIA-LOMVIA; WING-PROPELLED DIVERS; ANTARCTIC FUR SEALS; DIVING BEHAVIOR; BRUNNICHS GUILLEMOTS; STROKE PATTERNS; MARINE BIRD</t>
  </si>
  <si>
    <t>We used time-depth recorders to investigate the behaviour of free-ranging Thick-billed Murres (Uria lomvia L., 1758) after attaching positively (n = 9), negatively (n = 10), or neutrally (n = 9) buoyant handicaps and increasing cross-sectional area by 3% (2.8 cm(2); n = 8) or 6% (5.6 cm(2); n = 6). When buoyancy was altered or drag increased, murres reduced dive depth and duration, suggesting that murres do not manipulate dive depth to obtain neutral buoyancy during the bottom phase. Ascent rate increased as the bird surfaced and mean ascent rate increased for deeper dives, presumably reflecting steeper dive angles and greater buoyancy during deep dives. For short dives (&lt;150 s), preceding surface pauses were better correlated with dive depth and duration than succeeding surface pauses (surface pauses were anticipatory), suggesting that murres control inhalation rates based on anticipated dive depth and duration. Murres reduced ascent rate near the surface, possibly to reduce the risk of decompression sickness. Neutrally buoyant recorders attached to the legs had no effect on chick feeding frequencies or adult mass loss, suggesting that this attachment method may have the least effect on the foraging behaviour of alcids.</t>
  </si>
  <si>
    <t>Univ Manitoba, Dept Zool, Winnipeg, MB R3T 2N2, Canada; Carleton Univ, Canadian Wildlife Serv, Natl Wildlife Res Ctr, Ottawa, ON K1A 0H3, Canada</t>
  </si>
  <si>
    <t>University of Manitoba; Carleton University; Environment &amp; Climate Change Canada; Canadian Wildlife Service; National Wildlife Research Centre - Canada</t>
  </si>
  <si>
    <t>Elliott, KH (corresponding author), Univ Manitoba, Dept Zool, Z320 Duff Roblin Bldg, Winnipeg, MB R3T 2N2, Canada.</t>
  </si>
  <si>
    <t>urialomvia@gmail.com</t>
  </si>
  <si>
    <t>Elliott, Kyle/S-9185-2019</t>
  </si>
  <si>
    <t>10.1139/Z07-012</t>
  </si>
  <si>
    <t>164VX</t>
  </si>
  <si>
    <t>WOS:000246264000007</t>
  </si>
  <si>
    <t>Valero-Navarro, A; Fernández-Sánchez, JF; Medina-Castillo, AL; Fernández-Ibáñez, F; Segura-Carretero, A; Ibáñez, JM; Fernández-Gutiérrez, A</t>
  </si>
  <si>
    <t>Valero-Navarro, A.; Fernandez-Sanchez, J. F.; Medina-Castillo, A. L.; Fernandez-Ibanez, F.; Segura-Carretero, A.; Ibanez, J. M.; Fernandez-Gutierrez, A.</t>
  </si>
  <si>
    <t>A rapid, sensitive screening test for polycyclic aromatic hydrocarbons applied to Antarctic water</t>
  </si>
  <si>
    <t>Antarctica; fluorescence; screening test; benzo[a]pyrene; polluted water; hydrocarbon contamination; polycyclic aromatic hydrocarbons</t>
  </si>
  <si>
    <t>SOLID-PHASE EXTRACTION; LASER-INDUCED FLUORESCENCE; MASS-SPECTROMETRY; FLOW SYSTEMS; DNA-ADDUCTS; CHROMATOGRAPHY; SAMPLES; PYRENE; CONFIRMATION; SPECTROSCOPY</t>
  </si>
  <si>
    <t>We describe a rapid, sensitive, fluorescence screening test for polycyclic aromatic hydrocarbons in water samples that avoids more costly time-consuming methods. The screening test works by detecting benzo[a]pyrene. It runs without the need for any pre-concentration step, thus rendering it suitable for routine use in water-quality-control laboratories. The test recognizes contaminated samples rapidly (150s) and inexpensively with a cut-off level of 10 ng l(-1), which is the value that the European Union and World Health Organization (WHO) have laid down in its assessment of the quality of water for human consumption. This was first ascertained by analysing tap and waste-water samples before studying environmental water samples from the Antarctic region. The reliability of the screening test was 2% false positives and 4% false negatives in 200 samples of tap and waste-water. The applicability was confirmed by the fact that the predictions of the screening test coincided exactly with results obtained with gas chromatography-mass spectrometry assays. We also discuss the polluted Antarctic samples and the possible sources of the contamination involved. (c) 2006 Elsevier Ltd. All rights reserved.</t>
  </si>
  <si>
    <t>Univ Granada, Fac Sci, Dept Analyt Chem, E-18071 Granada, Spain; Univ Granada, Fac Sci, Dept Geodinam, E-18071 Granada, Spain; Univ Granada, Fac Sci, Inst Andaluz Geofis, E-18071 Granada, Spain</t>
  </si>
  <si>
    <t>University of Granada; University of Granada; University of Granada</t>
  </si>
  <si>
    <t>Fernández-Sánchez, JF (corresponding author), Univ Granada, Fac Sci, Dept Analyt Chem, C Fuentenueva S-N, E-18071 Granada, Spain.</t>
  </si>
  <si>
    <t>jffernan@ugr.es; ansegura@ugr.es</t>
  </si>
  <si>
    <t>IBANEZ, JESUS M/G-9910-2019; Fernandez-Sanchez, Jorge F/B-6086-2017; Castillo, Antonio Luis Medina/ABD-7194-2020; , Antonio Luis/E-9799-2018; segura Carretero, Antonio/B-6867-2014; Fernandez Gutierrez, Alberto/M-8512-2014</t>
  </si>
  <si>
    <t>IBANEZ, JESUS M/0000-0002-9846-8781; , Antonio Luis/0000-0002-0308-9878; segura Carretero, Antonio/0000-0002-5564-5338; Fernandez-Ibanez, Fermin/0000-0002-0094-8200; Fernandez-Sanchez, Jorge/0000-0002-6181-2833; Fernandez Gutierrez, Alberto/0000-0003-3647-2598</t>
  </si>
  <si>
    <t>1879-1298</t>
  </si>
  <si>
    <t>10.1016/j.chemosphere.2006.11.028</t>
  </si>
  <si>
    <t>152YB</t>
  </si>
  <si>
    <t>WOS:000245397100008</t>
  </si>
  <si>
    <t>Fan, K; Wang, HJ</t>
  </si>
  <si>
    <t>Fan Ke; Wang Hui-Jun</t>
  </si>
  <si>
    <t>Simulation of the AAO anomaly and its influence on the Northern Hemispheric circulation in boreal winter and spring</t>
  </si>
  <si>
    <t>CHINESE JOURNAL OF GEOPHYSICS-CHINESE EDITION</t>
  </si>
  <si>
    <t>Chinese</t>
  </si>
  <si>
    <t>Antarctic Oscillation; Northern Hemisphere circulation in boreal spring and winter; meridional teleconnection; simulation</t>
  </si>
  <si>
    <t>DUST WEATHER FREQUENCY; SOUTHERN-HEMISPHERE; SURFACE-TEMPERATURE; INTERANNUAL VARIABILITY; ANTARCTIC OSCILLATION; ANNULAR MODE</t>
  </si>
  <si>
    <t>AAO anomaly and its influence on the Northern Hemispheric circulation and temperature over north of Asia are studied by analyzing the output of IAP9L - AGCM model. First, Sea temperature associated with Antarctic Oscillation (AAO) is investigated using IAP9L - AGCM model. The model simulation shows that the sea temperature at high latitude in SH may cause the AAO anomaly and the east tropical Pacific ocean is closely related to Pacific Southern America (PSA) teleconnection. Second, the results show that positive AAO tend to enhance Eurasian west wind and circulation anomaly at high latitude in NH, resulting in the increase of both surface temperature (SAT) and temperature at 850 hPa over North Asia during the boreal winter and spring. The meridional teleconnection responsible for possible mechanism is pronounced in the simulation. Therefore, model simulation supports our previous observations.</t>
  </si>
  <si>
    <t>Chinese Acad Sci, Inst Atmospher Phys, Nansen Zhu Int Res Ctr, Beijing 100029, Peoples R China; Yunnan Univ, Dept Atmospher Sci, Kunming 650091, Peoples R China; Grad Univ, Chinese Acad Sci, Beijing 100049, Peoples R China</t>
  </si>
  <si>
    <t>Chinese Academy of Sciences; Institute of Atmospheric Physics, CAS; Yunnan University; Chinese Academy of Sciences; University of Chinese Academy of Sciences, CAS</t>
  </si>
  <si>
    <t>Fan, K (corresponding author), Chinese Acad Sci, Inst Atmospher Phys, Nansen Zhu Int Res Ctr, Beijing 100029, Peoples R China.</t>
  </si>
  <si>
    <t>0001-5733</t>
  </si>
  <si>
    <t>CHINESE J GEOPHYS-CH</t>
  </si>
  <si>
    <t>Chinese J. Geophys.-Chinese Ed.</t>
  </si>
  <si>
    <t>152ZB</t>
  </si>
  <si>
    <t>WOS:000245399900009</t>
  </si>
  <si>
    <t>Choi, HJ; Ji, J; Chung, KH; Ahn, IY</t>
  </si>
  <si>
    <t>Choi, Heeseon J.; Ji, Jungyoun; Chung, Kyung-Ho; Ahn, In-Young</t>
  </si>
  <si>
    <t>Cadmium bioaccumulation and detoxification in the gill and digestive gland of the Antarctic bivalve Laternula elliptica</t>
  </si>
  <si>
    <t>Antarctic; cadmium; detoxification; Laternula elliptica; metal accumulation; metallothionein-like protein</t>
  </si>
  <si>
    <t>SCALLOP ADAMUSSIUM-COLBECKI; KING-GEORGE-ISLAND; TRACE-METALS; BIOCHEMICAL-CHARACTERIZATION; DIFFERENT TISSUES; ELEVATED CADMIUM; MARINE ORGANISMS; MACOMA-BALTHICA; MYTILUS-EDULIS; METALLOTHIONEIN</t>
  </si>
  <si>
    <t>Exposure to a sublethal concentration of cadmium (Cd; 50 mu g L-1) resulted in significantly increased Cd concentrations in the gill and digestive gland of the Antarctic bivalve Laternida elliptica. Continuous accumulation of Cd in the two organs during the 14-day exposure period was associated with sequestration of Cd to both the soluble cytosolic and insoluble particulate cell fractions. However, the contribution of each cell fraction to Cd sequestration differed between the two organs,- in the gill, a larger portion of Cd was associated with the insoluble fraction, while in the digestive gland, both the soluble and insoluble fractions sequestered similar amounts of Cd. Metal-binding components in the insoluble cell fraction were not identified in this study. On the other hand, a metallothionein-like protein (MTLP) was the major Cd-detoxifying component in the soluble cell fraction of the gill and digestive gland. The amount of MTLP increased linearly with exposure time and the amount of Cd accumulated in the tissue, which suggests a potential utility of MTLP as a biomarker for exposure to Cd and possibly other metals. (c) 2006 Elsevier Inc. All rights reserved.</t>
  </si>
  <si>
    <t>Korea Ocean Res &amp; Dev Inst, Korea Polar Res Inst, Ansan 426744, South Korea</t>
  </si>
  <si>
    <t>Korea Institute of Ocean Science &amp; Technology (KIOST); Korea Polar Research Institute (KOPRI)</t>
  </si>
  <si>
    <t>Ahn, IY (corresponding author), Korea Ocean Res &amp; Dev Inst, Korea Polar Res Inst, 1270 Sa 2 Dong, Ansan 426744, South Korea.</t>
  </si>
  <si>
    <t>iahn@kordi.re.kr</t>
  </si>
  <si>
    <t>10.1016/j.cbpc.2006.12.005</t>
  </si>
  <si>
    <t>154IB</t>
  </si>
  <si>
    <t>WOS:000245499100008</t>
  </si>
  <si>
    <t>Aoki, S; Akitomo, K</t>
  </si>
  <si>
    <t>Aoki, Shigeru; Akitomo, Kazunori</t>
  </si>
  <si>
    <t>Observations of small-scale disturbances of the Subantarctic Front south of Australia</t>
  </si>
  <si>
    <t>INTERMEDIATE WATER; OCEAN CIRCULATION; VARIABILITY; FLUX</t>
  </si>
  <si>
    <t>High-resolution XCTD and XBT observations were conducted to study eddy variability in the Subantarctic Front (SAF) and its possible impact on the properties of the adjacent Subantarctic Mode Water (SAMW) in the region south of Australia. The stations were occupied along cross-frontal transects in February 2004 and in February and March 2002. Coarse-resolution data from previous WOCE observations were also examined to reveal the water mass properties, including dissolved oxygen (DO). Small-scale (10-20 km) features were detected in the SAF for all high-resolution sections. Fluctuation of the 7 degrees C isotherm was clearly revealed at a depth of 300-600 in for the sigma(theta) = 26.8- 26.9 kg m(-3) density range. Temperature and salinity inversions of a similar spatial scale were also found on the same density surface. The spatial scale and depth range of the small-scale anomalies could be consistent with those of the baroclinic instability in the top several hundred-meter layer. In the potential temperature-salinity (theta-S) diagram, the small-scale fluctuations constitute cold/fresh intrusions from the warm/saline SAMW curve. The intrusions were found on the theta-S line connecting the deeper SAMW and the shallower Antarctic Surface Water (AASW) of the higher latitudes. From the WOCE observations, the presence of SAMW with high DO was indicated north of the SAF, as previously reported. Within the SAF, intrusions in the theta-S diagram with relatively high DO were found at around the 7 degrees C isotherm for 26.8 - 26.9 kg m(-3), the same densities for the small-scale anomalies and the high-DO SAMW. Analysis of heat and salt deficit suggests that the small-scale disturbances have a comparable or larger role than those of meso-scale anomalies. These imply that the small-scale anomalies contribute to the cross-frontal water exchange and to the formation of high-DO SAMW. (c) 2007 Elsevier Ltd. All rights reserved.</t>
  </si>
  <si>
    <t>Hokkaido Univ, Inst Low Temperature Sci, Kita Ku, Sapporo, Hokkaido 0600819, Japan; Kyoto Univ, Dept Geophys, Div Earth &amp; Planetary Sci, Kyoto 6068502, Japan</t>
  </si>
  <si>
    <t>Hokkaido University; Kyoto University</t>
  </si>
  <si>
    <t>Aoki, S (corresponding author), Hokkaido Univ, Inst Low Temperature Sci, Kita Ku, N19W8, Sapporo, Hokkaido 0600819, Japan.</t>
  </si>
  <si>
    <t>shigeru@lowtem.hokudai.ac.jp; akitomo@kugi.kyoto-u.ac.jp</t>
  </si>
  <si>
    <t>Aoki, Shigeru/D-9105-2012</t>
  </si>
  <si>
    <t>10.1016/j.dsr.2006.12.002</t>
  </si>
  <si>
    <t>158HK</t>
  </si>
  <si>
    <t>WOS:000245782200002</t>
  </si>
  <si>
    <t>Assmy, P; Henjes, J; Klaas, C; Smetacek, V</t>
  </si>
  <si>
    <t>Assmy, Philipp; Henjes, Joachim; Klaas, Christine; Smetacek, Victor</t>
  </si>
  <si>
    <t>Mechanisms determining species dominance in a phytoplankton bloom induced by the iron fertilization experiment EisenEx in the Southern Ocean</t>
  </si>
  <si>
    <t>iron fertilization; Southern Ocean; phytoplankton species dynamics; grazing</t>
  </si>
  <si>
    <t>ANTARCTIC POLAR FRONT; SUB-ARCTIC PACIFIC; ENRICHMENT EXPERIMENT; FEEDING-BEHAVIOR; CIRCUMPOLAR CURRENT; BIOGENIC SILICA; FECAL MATERIAL; DIATOM BLOOMS; CELL-DEATH; FOOD WEBS</t>
  </si>
  <si>
    <t>The dynamics of phytoplankton species populations recorded during the 3-week, iron-fertilization experiment EisenEx carried out in spring in the Antarctic Polar Frontal Zone are presented and discussed as the difference between growth and mortality rates. Only two cosmopolitan diatom species, the centric Chaetoceros debilis and the pennate Pseudo-nitzschia lineola, increased population density exponentially throughout the experiment to 150- and 90-fold of initial values, respectively. Because C. debilis initial abundance was tenfold lower than that of P. lineola, the two contributed 1 % and 21 % to bloom biomass, respectively at the end of the experiment, high-lighting the role of seeding in bloom formation. The other significant species increased population size at a linear rate throughout the experiment or for a short spurt phase to 3- to 18-fold of initial values. Conservative estimates of mortality rates within diatom species populations were obtained by comparing net accumulation rates of full cells with those of empty and broken frustules. The ratios were consistent over time for the various species but varied widely between them. The species-specific variation can be explained by differences in both growth and mortality rates, the latter partly due to either selective grazing or avoidance by the large protozoo- and metazooplankton populations present. Selective predation by the abundant copepod populations on protistan grazers of diatoms (ciliates and heterotrophic dinoflagellates) apparently aided diatom biomass build-up. The response patterns of populations of the phytoplankton species present fall into six categories comprising disparate species, indicating that phylogeny is a poor predictor of ecology. The group that did not respond to fertilization was the most diverse and included both endemic and cosmopolitan as well as background and bloom-forming species. This lack of response to the advent of favorable growth conditions indicates that proximate factors during EisenEx triggered growth only in some species but had little effect on others. We attribute the differences in behavior to ultimate factors such as seasonal effects on life cycles and other internal constraints on growth rates. The implications for our understanding of the evolutionary ecology of phytoplankton and its impact on global biogeochemical cycles are pointed out. (c) 2007 Elsevier Ltd. All rights reserved.</t>
  </si>
  <si>
    <t>Assmy, P (corresponding author), Alfred Wegener Inst Polar &amp; Marine Res, Am Handelshafen 12, D-27570 Bremerhaven, Germany.</t>
  </si>
  <si>
    <t>passmy@awi-bremerhaven.de</t>
  </si>
  <si>
    <t>Henjes, Joachim/0000-0002-6688-8802; Klaas, Christine/0000-0002-6679-8970</t>
  </si>
  <si>
    <t>10.1016/j.dsr.2006.12.005</t>
  </si>
  <si>
    <t>WOS:000245782200003</t>
  </si>
  <si>
    <t>Henjes, J; Assmy, P; Klaas, C; Verity, P; Smetacek, V</t>
  </si>
  <si>
    <t>Henjes, Joachim; Assmy, Philipp; Klaas, Christine; Verity, Peter; Smetacek, Victor</t>
  </si>
  <si>
    <t>Response of microzooplankton (protists and small copepods) to an iron-induced phytoplankton bloom in the Southern Ocean (EisenEx)</t>
  </si>
  <si>
    <t>Antarctic Polar Frontal Zone; iron fertilisation; protozooplankton; small copepods; diatom bloom; trophic cascade</t>
  </si>
  <si>
    <t>ANTARCTIC POLAR FRONT; SUB-ARCTIC PACIFIC; CENTRAL EQUATORIAL PACIFIC; PARTICLE-SIZE SELECTION; COMMUNITY STRUCTURE; ATLANTIC SECTOR; PELAGIC ECOSYSTEMS; GROWTH DYNAMICS; ROSS SEA; CIRCUMPOLAR CURRENT</t>
  </si>
  <si>
    <t>The dynamics, composition and grazing impact of microzooplankton were studied during the in situ iron fertilisation experiment EisenEx in the Antarctic Polar Frontal Zone in austral spring (November 2000). During the 21 day experiment, protozooplanklon and small metazooplankton were sampled from the mixed layer inside and outside the patch using Niskin bottles. Aplastidic dinoflagellates increased threefold in abundance and biomass in the first 10 days of the experiment, but decreased thereafter to values twofold higher than pre-fertilisation values. The decline after day 10 is attributed to ircreasing grazing pressure by copepods. They also constrained ciliate abundances and biomass which were higher inside the fertilised patch than outside but highly variable. Copepod nauplii abundance remained stable whereas biomass doubled. Numbers of copepodites and adults of small copepod species (&lt; 1.5 mm) increased threefold inside the patch, but doubled in surrounding waters. Grazing rates estimated using the dilution method suggest that microzooplankton grazing constrained pico- and nanoplankton populations, but species capable of feeding on large diatoms (dinoflagellates and small copepods including possibly nauplii) were selectively predated by the metazoan community. Thus, iron fertilisation of a developing spring phytoplankton assemblage resulted in a trophic cascade which favoured dominance of the bloom by large diatoms. (c) 2007 Elsevier Ltd. All rights reserved.</t>
  </si>
  <si>
    <t>Alfred Wegener Inst Polar &amp; Marine Res, D-27570 Bremerhaven, Germany; Skidaway Inst Oceanog, Savannah, GA 31411 USA</t>
  </si>
  <si>
    <t>Helmholtz Association; Alfred Wegener Institute, Helmholtz Centre for Polar &amp; Marine Research; University System of Georgia; University of Georgia; Skidaway Institute of Oceanography</t>
  </si>
  <si>
    <t>Henjes, J (corresponding author), Alfred Wegener Inst Polar &amp; Marine Res, Am Handelshafen 12, D-27570 Bremerhaven, Germany.</t>
  </si>
  <si>
    <t>jhenjes@awi-bremerhaven.de</t>
  </si>
  <si>
    <t>10.1016/j.dsr.2006.12.004</t>
  </si>
  <si>
    <t>WOS:000245782200004</t>
  </si>
  <si>
    <t>Myburgh, M; Chown, SL; Daniels, SR; van Vuuren, BJ</t>
  </si>
  <si>
    <t>Myburgh, M.; Chown, S. L.; Daniels, S. R.; van Vuuren, B. Jansen</t>
  </si>
  <si>
    <t>Population structure, propagule pressure, and conservation biogeography in the sub-Antarctic: lessons from indigenous and invasive springtails</t>
  </si>
  <si>
    <t>DIVERSITY AND DISTRIBUTIONS</t>
  </si>
  <si>
    <t>biological invasion; Collembola; conservation biogeography; mtDNA COI; rarefaction</t>
  </si>
  <si>
    <t>PRINCE-EDWARD-ISLANDS; SPECIES RICHNESS ESTIMATORS; SOUTHERN-OCEAN ISLANDS; GENETIC-VARIATION; VICTORIA LAND; GOMPHIOCEPHALUS-HODGSONI; BIOLOGICAL INVASIONS; HABITAT SPECIFICITY; ADAPTIVE RADIATION; MARION ISLAND</t>
  </si>
  <si>
    <t>The patterns in and the processes underlying the distribution of invertebrates among Southern Ocean islands and across vegetation types on these islands are reasonably well understood. However, few studies have examined the extent to which populations are genetically structured. Given that many sub-Antarctic islands experienced major glaciation and volcanic activity, it might be predicted that substantial population substructure and little genetic isolation-by-distance should characterize indigenous species. By contrast, substantially less population structure might be expected for introduced species. Here, we examine these predictions and their consequences for the conservation of diversity in the region. We do so by examining haplotype diversity based on mitochondrial cytochrome c oxidase subunit I sequence data, from two indigenous (Cryptopygus antarcticus travei, Tullbergia bisetosa) and two introduced (Isotomurus cf. palustris, Ceratophysella denticulata) springtail species from Marion Island. We find considerable genetic substructure in the indigenous species that is compatible with the geological and glacialogical history of the island. Moreover, by employing ecological techniques, we show that haplotype diversity is likely much higher than our sequenced samples suggest. No structure is found in the introduced species, with each being represented by a single haplotype only. This indicates that propagule pressure is not significant for these small animals unlike the situation for other, larger invasive species: a few individuals introduced once are likely to have initiated the invasion. These outcomes demonstrate that sampling must be more comprehensive if the population history of indigenous arthropods on these islands is to be comprehended, and that the risks of within- and among-island introductions are substantial. The latter means that, if biogeographical signal is to be retained in the region, great care must be taken to avoid inadvertent movement of indigenous species among and within islands. Thus, quarantine procedures should also focus on among-island movements.</t>
  </si>
  <si>
    <t>Univ Stellenbosch, Dept Bot &amp; Zool, Ctr Invas Biol, Private Bag X1, ZA-7602 Matieland, South Africa; Univ Stellenbosch, Dept Bot &amp; Zool, Evolutionary Genom Grp, ZA-7602 Matieland, South Africa</t>
  </si>
  <si>
    <t>Chown, SL (corresponding author), Univ Stellenbosch, Dept Bot &amp; Zool, Ctr Invas Biol, Private Bag X1, ZA-7602 Matieland, South Africa.</t>
  </si>
  <si>
    <t>Chown, Steven L/H-3347-2011; Chown, Steven/ABD-7646-2021; Jansen van Vuuren, Bettine/E-6227-2013</t>
  </si>
  <si>
    <t>Jansen van Vuuren, Bettine/0000-0002-5334-5358; Daniels, Savel/0000-0003-2956-3256</t>
  </si>
  <si>
    <t>1366-9516</t>
  </si>
  <si>
    <t>1472-4642</t>
  </si>
  <si>
    <t>DIVERS DISTRIB</t>
  </si>
  <si>
    <t>Divers. Distrib.</t>
  </si>
  <si>
    <t>10.1111/j.1472-4642.2007.00319.x</t>
  </si>
  <si>
    <t>141WD</t>
  </si>
  <si>
    <t>WOS:000244608800001</t>
  </si>
  <si>
    <t>Sharin, VV; Alekseev, VV; Dymov, VA; Pogodina, IA; Bol'shiyanov, DY; Gusev, EA</t>
  </si>
  <si>
    <t>Sharin, V. V.; Alekseev, V. V.; Dymov, V. A.; Pogodina, I. A.; Bol'shiyanov, D. Yu.; Gusev, E. A.</t>
  </si>
  <si>
    <t>New data on the late Quaternary stratigraphy and paleogeography of the Wijdefjorden Region (West Spitsbergen)</t>
  </si>
  <si>
    <t>SVALBARD</t>
  </si>
  <si>
    <t>Polar Marine Geol Explorat Expedit, Lomonosov 189510, Leningrad Oblas, Russia; Russian Acad Sci, Kola Res Ctr, Murmansk Marine Biol Inst, Murmansk 183010, Russia; Arctic &amp; Antarctic Res Inst, St Petersburg 199397, Russia; All Russia Res Inst Geol &amp; Mineral Resources Worl, St Petersburg 190121, Russia</t>
  </si>
  <si>
    <t>Russian Academy of Sciences; Kola Science Centre of the Russian Academy of Sciences; Arctic &amp; Antarctic Research Institute; A.P. Karpinsky Russian Geological Research Institute (VSEGEI)</t>
  </si>
  <si>
    <t>Sharin, VV (corresponding author), Polar Marine Geol Explorat Expedit, Ul Pobedy 24, Lomonosov 189510, Leningrad Oblas, Russia.</t>
  </si>
  <si>
    <t>pogod@mmbi.info</t>
  </si>
  <si>
    <t>Gusev, Evgeny A/C-5156-2012</t>
  </si>
  <si>
    <t>Gusev, Evgeny A/0000-0001-6045-0730</t>
  </si>
  <si>
    <t>10.1134/S1028334X07020274</t>
  </si>
  <si>
    <t>154QQ</t>
  </si>
  <si>
    <t>WOS:000245522800027</t>
  </si>
  <si>
    <t>Alekseev, GV; Frolov, IE; Sokolov, VT</t>
  </si>
  <si>
    <t>Alekseev, G. V.; Frolov, I. E.; Sokolov, V. T.</t>
  </si>
  <si>
    <t>Observations in the Arctic Ocean do not confirm weakening of thermohaline circulation in the North Atlantic</t>
  </si>
  <si>
    <t>Alekseev, GV (corresponding author), Arctic &amp; Antarctic Res Inst, Ul Beringa 38, St Petersburg 199397, Russia.</t>
  </si>
  <si>
    <t>alexgv@aari.nw.ru</t>
  </si>
  <si>
    <t>Frolov, Ivan/L-2908-2018</t>
  </si>
  <si>
    <t>Frolov, Ivan/0000-0002-6586-354X</t>
  </si>
  <si>
    <t>10.1134/S1028334X0702033X</t>
  </si>
  <si>
    <t>WOS:000245522800033</t>
  </si>
  <si>
    <t>Weiss, K; Feliot-Rippeault, M; Gaud, R</t>
  </si>
  <si>
    <t>Weiss, Karine; Feliot-Rippeault, Marie; Gaud, Richard</t>
  </si>
  <si>
    <t>Uses of places and setting preferences in a French Antarctic station</t>
  </si>
  <si>
    <t>ENVIRONMENT AND BEHAVIOR</t>
  </si>
  <si>
    <t>adaptation; isolated and confined environments (ICE); habitability; privacy; behavior settings</t>
  </si>
  <si>
    <t>ADAPTATION; DYNAMICS; WINTER</t>
  </si>
  <si>
    <t>The various uses of space as well as the environmental preferences of wintering people were investigated during 1 year in a French Antarctic station using daily participant observation (for uses of places) and a repeated measure of the perception and evaluation of the settings. The uses of places varied according to occupational and age subgroups: The young scientists expressed a higher need for privacy and a strong investment in their working areas, whereas the technicians preferred the social leisure area (main hall). These places were used as different behavior settings and thus corresponded to flexible environments. Flexibility was a characteristic of all the preferred places. A change in the preferences among the settings and the uses of places was also observed: After midwinter, the preferences evolved from private places to working areas. At the end of the mission, a behavioral change reflecting a stronger need for privacy was also observed.</t>
  </si>
  <si>
    <t>Univ Paris 05, CNRS, UMR 8069, Lab Psychol Environm, F-92100 Boulogne, France; Univ Reims, F-51100 Reims, France</t>
  </si>
  <si>
    <t>Centre National de la Recherche Scientifique (CNRS); Universite Paris Cite; Universite de Reims Champagne-Ardenne</t>
  </si>
  <si>
    <t>Weiss, K (corresponding author), Univ Paris 05, CNRS, UMR 8069, Lab Psychol Environm, 71 Edouard Vaillant, F-92100 Boulogne, France.</t>
  </si>
  <si>
    <t>Weiss, Karine/0000-0001-6419-6629</t>
  </si>
  <si>
    <t>0013-9165</t>
  </si>
  <si>
    <t>1552-390X</t>
  </si>
  <si>
    <t>ENVIRON BEHAV</t>
  </si>
  <si>
    <t>Environ. Behav.</t>
  </si>
  <si>
    <t>10.1177/0013916505285934</t>
  </si>
  <si>
    <t>Environmental Studies; Psychology, Multidisciplinary</t>
  </si>
  <si>
    <t>Environmental Sciences &amp; Ecology; Psychology</t>
  </si>
  <si>
    <t>138EV</t>
  </si>
  <si>
    <t>WOS:000244346800001</t>
  </si>
  <si>
    <t>Boenigk, J; Jost, S; Stoeck, T; Garstecki, T</t>
  </si>
  <si>
    <t>Boenigk, Jens; Jost, Steffen; Stoeck, Thorsten; Garstecki, Tobias</t>
  </si>
  <si>
    <t>Differential thermal adaptation of clonal strains of a protist morphospecies originating from different climatic zones</t>
  </si>
  <si>
    <t>ENVIRONMENTAL MICROBIOLOGY</t>
  </si>
  <si>
    <t>SSU RIBOSOMAL-RNA; GENETIC DIVERSITY; GROWTH-KINETICS; FOOD WEBS; TEMPERATURE; FLAGELLATE; MARINE; MICROFLAGELLATE; COMMUNITY; DYNAMICS</t>
  </si>
  <si>
    <t>Eco-physiological variation and local adaptation are key issues in microbial ecology. Here, we investigated the thermal adaptation of 19 strains of the same Spumella morphospecies (Chrysophyceae, Heterokonta). In order to test for local adaptation and the existence of specific ecotypes we analysed growth rates of these strains, which originated from different climate regions. We applied temperature-adaptation as an eco-physiological marker and analysed growth rates of the different Spumella strains at temperatures between 0 degrees C and 35 degrees C. The temperatures allowing for maximal growth of strains from temperate and warm climatic zones ranged between 19.9 degrees C and 33.4 degrees C. Phylogenetically, most of these 'warm'-adapted strains fall into two different previously defined 18S rDNA Spumella clusters, one of them consisting of mostly soil organisms and the other one being a freshwater cluster. As a rule, the 'warm'-adapted strains of the soil cluster grew slower than the 'warm'-adapted isolates within the freshwater cluster. This difference most probably reflect different strategies, i.e. the formation of cysts at the expense of lower growth rates in soil organisms. In contrast, as expected, all isolates from Antarctica were cold-adapted and grew already around melting point of freshwater. Surprisingly, optimum temperature for these strains was between 11.8 degrees C and 17.7 degrees C and maximum temperature tolerated was between 14.6 degrees C and 23.5 degrees C. Our data indicate that despite the relatively high optimal temperature of most Antarctic strains, they may have a relative advantage below 5-10 degrees C only. Based on the thermal adaptation of the flagellate strains the Antarctic strains were clearly separated from the other investigated strains. This may indicate a limited dispersal of flagellates to and from Antarctica. Even if the latter assumption needs support from more data, we argue that the high levels of eco-physiological and molecular microdiversity indicate that the current species concepts do not sufficiently reflect protist eco-physiological differentiation.</t>
  </si>
  <si>
    <t>Austrian Acad Sci, Inst Limnol, A-5310 Mondsee, Austria; Univ Kaiserslautern, Sch Biol, D-67663 Kaiserslautern, Germany; British Antarctic Survey, NERC, Cambridge CB3 0ET, England</t>
  </si>
  <si>
    <t>Austrian Academy of Sciences; University of Kaiserslautern; UK Research &amp; Innovation (UKRI); Natural Environment Research Council (NERC); NERC British Antarctic Survey</t>
  </si>
  <si>
    <t>Boenigk, J (corresponding author), Austrian Acad Sci, Inst Limnol, Mondseestr 9, A-5310 Mondsee, Austria.</t>
  </si>
  <si>
    <t>jens.boenigk@oeaw.ac.at</t>
  </si>
  <si>
    <t>Boenigk, Jens/A-9377-2013</t>
  </si>
  <si>
    <t>NERC [bas010020] Funding Source: UKRI; Natural Environment Research Council [bas010020] Funding Source: researchfish; Austrian Science Fund FWF [P 18767] Funding Source: Medline</t>
  </si>
  <si>
    <t>NERC(UK Research &amp; Innovation (UKRI)Natural Environment Research Council (NERC)); Natural Environment Research Council(UK Research &amp; Innovation (UKRI)Natural Environment Research Council (NERC)); Austrian Science Fund FWF(Austrian Science Fund (FWF))</t>
  </si>
  <si>
    <t>1462-2912</t>
  </si>
  <si>
    <t>ENVIRON MICROBIOL</t>
  </si>
  <si>
    <t>Environ. Microbiol.</t>
  </si>
  <si>
    <t>10.1111/j.1462-2920.2006.01175.x</t>
  </si>
  <si>
    <t>134JE</t>
  </si>
  <si>
    <t>WOS:000244078500004</t>
  </si>
  <si>
    <t>Yin, XB; Sun, LG; Zhu, RB; Liu, XD; Ruan, DY; Wang, YH</t>
  </si>
  <si>
    <t>Yin, Xuebin; Sun, Liguang; Zhu, Renbin; Liu, Xiaodong; Ruan, Diyun; Wang, Yuhong</t>
  </si>
  <si>
    <t>Mercury-selenium association in antarctic seal hairs and animal excrements over the past 1,500 years</t>
  </si>
  <si>
    <t>Se-Hg association; Antarctica; seal hair; penguin excrement; lake sediment</t>
  </si>
  <si>
    <t>KING-GEORGE-ISLAND; INORGANIC MERCURY; PENGUIN DROPPINGS; MARINE MAMMALS; FOOD-WEB; METHYLMERCURY; DETOXIFICATION; SEDIMENTS; EXPOSURE; SEABIRDS</t>
  </si>
  <si>
    <t>Strong positive correlations between selenium (Se) and total mercury (Hg-T) contents in the liver of marine mammals and mercury mine workers in modern times have been documented in numerous investigations. Herein, we report a positive correlation between Se and HgT concentrations over the past 1,500 years in the seal hairs and in the lake sediments amended by seal or penguin excrements on King George Island (63 degrees 23'S, 57 degrees 00'W), West Antarctica. Because the changes in the input of Se and Hg into the marine environments of the studied sites do not seem to be synchronous, this striking correlation indicates a self-protection mechanism in Antarctic seals and penguins: Every time there is heavier Hg burden, more Se is accumulated to reduce the toxicity of Hg. This positive correlation between Hg and Se contents in the seal hairs and excrement sediments, however, becomes insignificant in the recent 50 years for unknown reasons.</t>
  </si>
  <si>
    <t>Univ Sci &amp; Technol China, Inst Polar Environm, Hefei 230026, Anhui, Peoples R China; Chinese Acad Sci, Nanjing Inst Soil Sci, State Key Lab Soil &amp; Sustainable Agr, Soil &amp; Environm Bioremediat Res Ctr, Nanjing 210008, Peoples R China; Univ Sci &amp; Technol China, Sch Earth &amp; Space Sci, Chinese Acad Sci, Key Lab Crust Mantle Mat &amp; Environm, Anhua 230026, Peoples R China; Univ Sci &amp; Technol China, Sch Life Sci, Hefei 230027, Anhui, Peoples R China; NIH, Bethesda, MD 20892 USA</t>
  </si>
  <si>
    <t>Chinese Academy of Sciences; University of Science &amp; Technology of China, CAS; Chinese Academy of Sciences; Nanjing Institute of Soil Science, CAS; Chinese Academy of Sciences; University of Science &amp; Technology of China, CAS; Chinese Academy of Sciences; University of Science &amp; Technology of China, CAS; National Institutes of Health (NIH) - USA</t>
  </si>
  <si>
    <t>Sun, LG (corresponding author), Univ Sci &amp; Technol China, Inst Polar Environm, Hefei 230026, Anhui, Peoples R China.</t>
  </si>
  <si>
    <t>slg@ustc.edu.cn</t>
  </si>
  <si>
    <t>10.1897/06-128.1</t>
  </si>
  <si>
    <t>136RK</t>
  </si>
  <si>
    <t>WOS:000244241600001</t>
  </si>
  <si>
    <t>Bryan, S</t>
  </si>
  <si>
    <t>Bryan, Scott</t>
  </si>
  <si>
    <t>Silicic Large Igneous Provinces</t>
  </si>
  <si>
    <t>EPISODES</t>
  </si>
  <si>
    <t>CONTINENTAL FLOOD VOLCANISM; CANYON MAGMA BODY; LARGE-VOLUME; ANTARCTIC PENINSULA; CENTRAL QUEENSLAND; CALC-ALKALINE; BREAK-UP; EVOLUTION; AUSTRALIA; ERUPTIONS</t>
  </si>
  <si>
    <t>Large Igneous Provinces (LIPs) are the end-product of huge additions of magma to the continental crust both at the surface and at depth. Since the first categorisation of LIPs by Coffin &amp; Eldholm (1994), it has been recognised that LIPs are more varied inform, age and character, and this includes the recognition of Silicic LlPs. Silicic LlPs are the largest accumulations of primary volcaniclastic rocks at the Earth's surface with areal extents &gt;0.1 Mkm(2) and extrusive and subvolcanic intrusive volumes &gt;0.25 Mkm(3). The Late Palaeozoic to Cenozoic Silicic LIP events are the best recognised and are similar in terms of their dimension, crustal setting, volcanic architecture and geochemistry. The Silicic LlPs typically form linear (&gt;2000 km long) volcanic-plutonic belts along volcanic rifted margins or as failed continental rifts. Igneous compositions are volumetrically silicic-dominant (&gt;65 wt% SiO2) but generally show a range of igneous compositions from basalt through to high-silica rhyolite. The rhyolites show transitional within-plate to calc-alkaline or convergent margin geochemical signatures, whereas both low- and high-Ti (&gt;2 wt% TiO2) magma types are present in the coeval mafic igneous rocks as commonly observed in continental flood basalt provinces. Several Silicic LlPs form a pre-rift magmatic event along volcanic rifted margins that develop through a consistent temporal pattern of LIP magmatism followed by rifting, uplift and seafloor-spreading. The difference between the Silicic LIPs and other continental mafic-dominated LIPs is largely due to different crustal settings. Phanerozoic Silicic LlPs are restricted to continental margins that comprise fertile, hydrous lower crustal materials built up by Phanerozoic subduction. The role of hydrous crustal additions and underplate formed during previous episodes of subduction seem crucial in triggering widespread crustal partial melting, and preventing a dominantly mafic surface expression to LIP events along these palaeo- and active continental margins. Silicic LlPs represent important targets for precious metal mineralisation and host extensive epithermal Au-Ag fields. They have been the sites of many large volume (&gt;1000 km(3) dense rock equivalent) silicic explosive eruptions and important sources of ash and aerosol contributions to the stratosphere. Future studies need to integrate their environmental effects with those from similarly large volume flood basalt eruptions.</t>
  </si>
  <si>
    <t>Kingston Univ, Sch Earth Sci &amp; Geog, Kingston upon Thames KT1 2EE, Surrey, England</t>
  </si>
  <si>
    <t>Kingston University</t>
  </si>
  <si>
    <t>Bryan, S (corresponding author), Kingston Univ, Sch Earth Sci &amp; Geog, Penrhyn Rd, Kingston upon Thames KT1 2EE, Surrey, England.</t>
  </si>
  <si>
    <t>S.Bryan@kingston.ac.uk</t>
  </si>
  <si>
    <t>Bryan, Scott/J-1297-2012</t>
  </si>
  <si>
    <t>Bryan, Scott/0000-0001-9022-1496</t>
  </si>
  <si>
    <t>GEOLOGICAL SOC KOREA</t>
  </si>
  <si>
    <t>KOREA SCIENCE &amp; TECHNOLOGY CTR, RM 813, 7 GIL 22, TEHERAN- RO, GANGNAM-GUNA, SEOUL, 06130, SOUTH KOREA</t>
  </si>
  <si>
    <t>0705-3797</t>
  </si>
  <si>
    <t>Episodes</t>
  </si>
  <si>
    <t>10.18814/epiiugs/2007/v30i1/004</t>
  </si>
  <si>
    <t>160GE</t>
  </si>
  <si>
    <t>WOS:000245928100004</t>
  </si>
  <si>
    <t>Bridge, PD; Prior, C</t>
  </si>
  <si>
    <t>Bridge, P. D.; Prior, C.</t>
  </si>
  <si>
    <t>Introduction or stimulation? : The association of Stropharia aurantiaca with bark and wood-chip mulches</t>
  </si>
  <si>
    <t>EUROPEAN JOURNAL OF SOIL BIOLOGY</t>
  </si>
  <si>
    <t>polymerase chain reaction (PCR); biodiversity screening; RNA secondary structure; species specific primers</t>
  </si>
  <si>
    <t>ECTOMYCORRHIZAL FUNGI; MICROBIAL-POPULATIONS; COMMUNITY STRUCTURE; PCR AMPLIFICATION; SOIL FUNGI; EXTRACTION; DIVERSITY; FORESTS; CANADA; DNA</t>
  </si>
  <si>
    <t>Polymerase chain reaction (PCR) primers ST1 and ST2 were designed for the specific amplification of ribosomal DNA from Stropharia aurantiaca, and a nested PCR method was developed for the detection of S. aurantiaca in garden soils and mulches. The results of PCR screening of garden soils and mulches indicated that S. aurantiaca could be detected in the absence of visible fruiting bodies. The occurrence of S. aurantiaca in soil and mulch was investigated to determine if the application of wood-chip mulch resulted in the introduction of the fungus or the stimulation of an already present population. (c) 2006 Elsevier Masson SAS. All rights reserved.</t>
  </si>
  <si>
    <t>British Antarctic Survey, NERC, Div Biol Sci, Cambridge CB3 0ET, England; Royal Hort Soc, Hort Sci Dept, Woking GU23 6QB, Surrey, England</t>
  </si>
  <si>
    <t>Bridge, PD (corresponding author), British Antarctic Survey, NERC, Div Biol Sci, High Cross,Madingley Rd, Cambridge CB3 0ET, England.</t>
  </si>
  <si>
    <t>1164-5563</t>
  </si>
  <si>
    <t>1778-3615</t>
  </si>
  <si>
    <t>EUR J SOIL BIOL</t>
  </si>
  <si>
    <t>Eur. J. Soil Biol.</t>
  </si>
  <si>
    <t>10.1016/j.ejsobi.2006.10.006</t>
  </si>
  <si>
    <t>Ecology; Soil Science</t>
  </si>
  <si>
    <t>Environmental Sciences &amp; Ecology; Agriculture</t>
  </si>
  <si>
    <t>156TL</t>
  </si>
  <si>
    <t>WOS:000245672700005</t>
  </si>
  <si>
    <t>Kazuoka, T; Oikawa, T; Muraoka, I; Kuroda, S; Soda, K</t>
  </si>
  <si>
    <t>Kazuoka, Takayuki; Oikawa, Tadao; Muraoka, Ikuo; Kuroda, Shun'ichi; Soda, Kenji</t>
  </si>
  <si>
    <t>A cold-active and thermostable alcohol dehydrogenase of a psychrotorelant from Antarctic seawater, Flavobacterium frigidimaris KUC-1</t>
  </si>
  <si>
    <t>alcohol dehydrogenase; psychrotorelant; thermostable; cold-active; flavobacterium</t>
  </si>
  <si>
    <t>MORAXELLA SP. TAE123; CYTOPHAGA SP KUC-1; HYDROGEN-TRANSFER; MOLECULAR CHARACTERIZATION; PSYCHROPHILIC ENZYMES; LOCAL FLEXIBILITY; STEREOSPECIFICITY; PURIFICATION; BINDING; ELECTROPHORESIS</t>
  </si>
  <si>
    <t>An NAD(+)-dependent alcohol dehydrogenase of a psychrotorelant from Antarctic seawater, Flavobacterium frigidimaris KUC-1 was purified to homogeneity with an overall yield of about 20% and characterized enzymologically. The enzyme has an apparent molecular weight of 160k and consists of four identical subunits with a molecular weight of 40k. The pI value of the enzyme and its optimum pH for the oxidation reaction were determined to be 6.7 and 7.0, respectively. The enzyme contains 2 gram-atoms Zn per subunit. The enzyme exclusively requires NAD(+) as a coenzyme and shows the pro-R stereospecificity for hydrogen transfer at the C4 position of the nicotinamide moiety of NAD(+). F. frigidimaris KUC-1 alcohol dehydrogenase shows as high thermal stability as the enzymes from thermophilic microorganisms. The enzyme is active at 0 to over 85 degrees C and the most active at 70 degrees C. The half-life time and k (cat) value at 60 degrees C were calculated to be 50 min and 27,400 min(-1) respectively. The enzyme also shows high catalytic efficiency at low temperatures (0-20 degrees C) (k (cat)/K (m) at 10 degrees C; 12,600 mM(-1) min(-1)) similar to other cold-active enzymes from psychrophiles. The alcohol dehydrogenase gene is composed of 1,035 bp and codes 344 amino acid residues with an estimated molecular weight of 36,823. The sequence identities were found with the amino acid sequences of alcohol dehydrogenases from Moraxella sp. TAE123 (67%), Pseudomonas aeruginosa (65%) and Geobacillus stearothermophilus LLD-R (56%). This is the first example of a cold-active and thermostable alcohol dehydrogenase.</t>
  </si>
  <si>
    <t>Kansai Univ, Fac Engn, Dept Biotechnol, Suita, Osaka 5648680, Japan; Kansai Univ, High Technol Res Ctr, Suita, Osaka 5648680, Japan; Osaka Univ, Inst Sci &amp; Ind Res, Ibaraki, Osaka 5670047, Japan</t>
  </si>
  <si>
    <t>Kansai University; Kansai University; Osaka University</t>
  </si>
  <si>
    <t>Oikawa, T (corresponding author), Kansai Univ, Fac Engn, Dept Biotechnol, 3-3-35 Yamate Cho, Suita, Osaka 5648680, Japan.</t>
  </si>
  <si>
    <t>oikawa@ipcku.kansai-u.ac.jp</t>
  </si>
  <si>
    <t>CHIYODA FIRST BLDG EAST, 3-8-1 NISHI-KANDA, CHIYODA-KU, TOKYO, 101-0065, JAPAN</t>
  </si>
  <si>
    <t>10.1007/s00792-006-0034-1</t>
  </si>
  <si>
    <t>138BB</t>
  </si>
  <si>
    <t>WOS:000244336400007</t>
  </si>
  <si>
    <t>Bakermans, C; Tollaksen, SL; Giometti, CS; Wilkerson, C; Tiedje, JM; Thomashow, MF</t>
  </si>
  <si>
    <t>Bakermans, Corien; Tollaksen, Sandra L.; Giometti, Carol S.; Wilkerson, Curtis; Tiedje, James M.; Thomashow, Michael F.</t>
  </si>
  <si>
    <t>Proteomic analysis of Psychrobacter cryohalolentis K5 during growth at subzero temperatures</t>
  </si>
  <si>
    <t>psychrophiles; proteome; low-temperature; psychrobacter; cold acclimation</t>
  </si>
  <si>
    <t>COLD-ACCLIMATION PROTEINS; ESCHERICHIA-COLI; BACILLUS-SUBTILIS; PSYCHROTROPHIC BACTERIUM; PSYCHROPHILIC BACTERIUM; SHOCK PROTEINS; LISTERIA-MONOCYTOGENES; 2-DIMENSIONAL ANALYSIS; ANTARCTIC ARCHAEON; TISSUE PROTEINS</t>
  </si>
  <si>
    <t>It is crucial to examine the physiological processes of psychrophiles at temperatures below 4 degrees C, particularly to facilitate extrapolation of laboratory results to in situ activity. Using two dimensional electrophoresis, we examined patterns of protein abundance during growth at 16, 4, and -4 degrees C of the eurypsychrophile Psychrobacter cryohalolentis K5 and report the first identification of cold inducible proteins (CIPs) present during growth at subzero temperatures. Growth temperature substantially reprogrammed the proteome; the relative abundance of 303 of the 618 protein spots detected (similar to 31% of the proteins at each growth temperature) varied significantly with temperature. Five CIPs were detected specifically at -4 inverted perpendicular degrees C; their identities (AtpF, EF-Ts, TolC, Pcryo_1988, and FecA) suggested specific stress on energy production, protein synthesis, and transport during growth at subzero temperatures. The need for continual relief of low-temperature stress on these cellular processes was confirmed via identification of 22 additional CIPs whose abundance increased during growth at -4 degrees C (relative to higher temperatures). Our data suggested that iron may be limiting during growth at subzero temperatures and that a cold-adapted allele was employed at -4 degrees C for transport of iron. In summary, these data suggest that low-temperature stresses continue to intensify as growth temperatures decrease to -4 degrees C.</t>
  </si>
  <si>
    <t>Michigan State Univ, Ctr Microbial Ecol, E Lansing, MI 48824 USA; Argonne Natl Lab, Biosci Div, Argonne, IL 60439 USA; Michigan State Univ, Res Technol Support Facil, E Lansing, MI 48824 USA</t>
  </si>
  <si>
    <t>Michigan State University; United States Department of Energy (DOE); Argonne National Laboratory; Michigan State University</t>
  </si>
  <si>
    <t>Bakermans, C (corresponding author), Michigan State Univ, Ctr Microbial Ecol, 540 Plant &amp; Soil Sci Bldg, E Lansing, MI 48824 USA.</t>
  </si>
  <si>
    <t>bakerm16@msu.edu</t>
  </si>
  <si>
    <t>Bakermans, Corien/0000-0002-3471-2570</t>
  </si>
  <si>
    <t>10.1007/s00792-006-0042-1</t>
  </si>
  <si>
    <t>WOS:000244336400015</t>
  </si>
  <si>
    <t>Liu, RZ; Saxena, V; Sharma, MK; Thisse, C; Thisse, B; Denovan-Wright, EM; Wright, JM</t>
  </si>
  <si>
    <t>Liu, Rong-Zong; Saxena, Vishal; Sharma, Mukesh K.; Thisse, Christine; Thisse, Bernard; Denovan-Wright, Eileen M.; Wright, Jonathan M.</t>
  </si>
  <si>
    <t>The fabp4 gene of zebrafish (Danio rerio) -: genomic homology with the mammalian FABP4 and divergence from the zebrafish fabp3 in developmental expression</t>
  </si>
  <si>
    <t>FEBS JOURNAL</t>
  </si>
  <si>
    <t>brain vasculature; conserved synteny; gene phylogeny; linkage mapping; whole mount in situ hybridization</t>
  </si>
  <si>
    <t>FATTY-ACID-BINDING; TISSUE-SPECIFIC EXPRESSION; HEART-TYPE; GROWTH INHIBITOR; PROTEIN; LOCALIZATION; HYBRID; MAP; EVOLUTION; FAMILY</t>
  </si>
  <si>
    <t>Teleost fishes differ from mammals in their fat deposition and distribution. The gene for adipocyte-type fatty acid-binding protein (A-FABP or FABP4) has not been identified thus far in fishes. We have determined the cDNA sequence and defined the structure of a fatty acid-binding protein gene (designated fabp4) from the zebrafish genome. The polypeptide sequence encoded by zebrafish fabp4 showed highest identity to the H-ad-FABP or H6-FABP from Antarctic fishes and the putative orthologs from other teleost fishes (83-88%). Phylogenetic analysis clustered the zebrafish FABP4 with all Antarctic fish H6-FABPs and putative FABP4s from other fishes in a single clade, and then with the mammalian FABP4s in an extended clade. Zebrafish fabp4 was assigned to linkage group 19 at a distinct locus from fabp3. A number of closely linked syntenic genes surrounding the zebrafish fabp4 locus were found to be conserved with human FABP4. The zebrafish fabp4 transcripts showed sequential distribution in the developing eye, diencephalon and brain vascular system, from the middle somitogenesis stage to 48 h postfertilization, whereas fabp3 mRNA was located widely in the embryonic and/or larval central nervous system, retina, myotomes, pancreas and liver from middle somitogenesis to 5 days postfertilization. Differentiation in developmental regulation of zebrafish fabp4 and fabp3 gene transcription suggests distinct functions for these two paralogous genes in vertebrate development.</t>
  </si>
  <si>
    <t>Dalhousie Univ, Dept Biol, Halifax, NS B3H 4J1, Canada; CU Strasbourg, Inst Genet &amp; Biol Mol &amp; Cellulaire, Dept Dev Biol, Illkirch Graffenstaden, France; Dalhousie Univ, Dept Pharmacol, Halifax, NS B3H 4H7, Canada</t>
  </si>
  <si>
    <t>Dalhousie University; Institut National de la Sante et de la Recherche Medicale (Inserm); Universites de Strasbourg Etablissements Associes; Universite de Strasbourg; Dalhousie University</t>
  </si>
  <si>
    <t>Wright, JM (corresponding author), Dalhousie Univ, Dept Biol, Halifax, NS B3H 4J1, Canada.</t>
  </si>
  <si>
    <t>jmwright@dal.ca</t>
  </si>
  <si>
    <t>saxena, vishal/GRJ-5665-2022</t>
  </si>
  <si>
    <t>Liu, Rong-Zong/0000-0001-8625-3188; THISSE, Christine/0000-0002-8684-1681</t>
  </si>
  <si>
    <t>1742-464X</t>
  </si>
  <si>
    <t>1742-4658</t>
  </si>
  <si>
    <t>FEBS J</t>
  </si>
  <si>
    <t>FEBS J.</t>
  </si>
  <si>
    <t>10.1111/j.1742-4658.2007.05711.x</t>
  </si>
  <si>
    <t>140YQ</t>
  </si>
  <si>
    <t>WOS:000244543200025</t>
  </si>
  <si>
    <t>Rowat, D; Gore, M</t>
  </si>
  <si>
    <t>Rowat, D.; Gore, M.</t>
  </si>
  <si>
    <t>Regional scale horizontal and local scale vertical movements of whale sharks, in the Indian Ocean off Seychelles</t>
  </si>
  <si>
    <t>1st International Whale Shark Conference</t>
  </si>
  <si>
    <t>MAY 09-12, 2005</t>
  </si>
  <si>
    <t>Perth, AUSTRALIA</t>
  </si>
  <si>
    <t>Rhincodon typus; juvenile; behaviour; satellite telemetry; geostrophic currents; rheotaxis; tagging; Argos</t>
  </si>
  <si>
    <t>RHINCODON-TYPUS; SATELLITE-TRACKING; MASCARENE PLATEAU; WESTERN-AUSTRALIA; ANTARCTIC WATERS; BASKING SHARKS; NINGALOO REEF; BEHAVIOR; ZOOPLANKTON; RHEOTAXIS</t>
  </si>
  <si>
    <t>Little information on the movements and use of habitat by whale sharks is available. We present data on regional horizontal and local vertical movement of juvenile whale shark from waters off Seychelles into the Indian Ocean, as recorded by satellite telemetry. Tracking data show that the direction of travel in three sharks was influenced. by the prevailing geo-strophic currents. The temperature distribution frequencies recorded show that the sharks spent the majority of time in waters of 25-35 degrees C. However, short exposures to very cold waters, below 10 degrees C were recorded and these are consistent with dives to deeper depths. Depth recordings show that up to 53% of the time was spent in water shallower than 10 m, but dives to depths of 750-1000 m were also recorded. These results are discussed in relation to diel patterns and diving behaviour in a similar planktivore, the basking shark. The marked preference of the whale sharks for swimming in relatively shallow water may indicate the importance of this range with respect to their foraging activities and has implications for their management and conservation. (c) 2006 Elsevier B.V. All rights reserved.</t>
  </si>
  <si>
    <t>Marine Conservat Soc Seychelles, Victoria, Mahe, Seychelles; Univ Marine Biol Stn, Millport KA28 0EG, Isle Cumbrae, Scotland</t>
  </si>
  <si>
    <t>Rowat, D (corresponding author), Marine Conservat Soc Seychelles, POB 1299, Victoria, Mahe, Seychelles.</t>
  </si>
  <si>
    <t>info@mcss.sc</t>
  </si>
  <si>
    <t>10.1016/j.fishres.2006.11.009</t>
  </si>
  <si>
    <t>144UT</t>
  </si>
  <si>
    <t>WOS:000244822500006</t>
  </si>
  <si>
    <t>Flowerdew, MJ; Millar, IL; Curtis, ML; Vaughan, APM; Horstwood, MSA; Whitehouse, MJ; Fanning, CM</t>
  </si>
  <si>
    <t>Flowerdew, M. J.; Millar, I. L.; Curtis, M. L.; Vaughan, A. P. M.; Horstwood, M. S. A.; Whitehouse, M. J.; Fanning, C. M.</t>
  </si>
  <si>
    <t>Combined U-Pb geochronology and Hf isotope geochemistry of detrital zircons from early Paleozoic sedimentary rocks, Ellsworth-Whitmore Mountains block, Antarctica</t>
  </si>
  <si>
    <t>GEOLOGICAL SOCIETY OF AMERICA BULLETIN</t>
  </si>
  <si>
    <t>Antarctica; absolute age; U-Pb; Hf; zircon provenance</t>
  </si>
  <si>
    <t>DRONNING MAUD LAND; PAN-AFRICAN METAMORPHISM; CAPE GRANITE SUITE; SM-ND AGE; WEST ANTARCTICA; CRUSTAL EVOLUTION; EAST ANTARCTICA; MOZAMBIQUE BELT; PACIFIC MARGIN; RATIO ANALYSIS</t>
  </si>
  <si>
    <t>U-Pb detrital zircon geochronology from the upper Cambrian to Devonian part of the Ellsworth Mountains succession, Antarctica, yields dominant late Mesoproterozoic and late Neoproterozoic-Cambrian age populations that are consistent with a provenance from within Gondwana. III isotope compositions reveal a source predominantly within west Gondwana and identify a change in provenance up-stratigraphy that coincides with the change of sedimentation setting from active rift to passive margin, which has been independently determined by stratigraphic, structural, and geochemical arguments. For the Late Cambrian Frasier Ridge Formation, late Mesoproterozoic grains have positive epsilon(Hf) values, suggesting derivation from juvenile crust, and late Neoproterozoic-Cambrian grains have epsilon(Hf) values greater than -5, consistent with remelting of similar juvenile late Mesoproterozoic crust during the Pan African-Ross orogenies. Provenance during rifting was from proximal sources from within west Gondwana, most likely, southernmost Africa and basement to the Ellsworth-Whitmore Mountains block. At higher stratigraphic levels where deposition occurred along a passive margin, in the early Ordovician Mount Twiss Member and middle Devonian Mount Wyatt Earp Formation, late Neoproterozoic-Cambrian grains have epsilon(Hf) values less than -5; this means that early Mesoproterozoic-Archean crust was remelted to generate these zircons. Provenance was from a more expansive source region within west Gondwana, and probably included the Kaapvaal and Congo cratons of south and west Africa. Isolated outcrops of sedimentary rock of uncertain age at Mount Woollard and the Whitmore Mountains have detrital zircon signatures similar to the Frasier Ridge Formation, suggesting correlation with these Late Cambrian deposits. Sedimentary rock from the Stewart Hills contains some late Mesoproterozoic grains with lower epsilon(Hf) values than the previously mentioned samples. This suggests that the Stewart Hills sample has a provenance from within east Gondwana and was possibly deposited on the East Antarctic craton prior to the Ross orogeny and is not part of the displaced Ellsworth-Whitmore Mountains crustal block.</t>
  </si>
  <si>
    <t>British Antarctic Survey, Cambridge CB3 0ET, England; Swedish Museum Nat Hist, SE-10405 Stockholm, Sweden; Australian Natl Univ, Res Sch Earth Sci, Canberra, ACT 0200, Australia; NERC, Isotope Geosci Lab, Kingsley Dunham Ctr, Keyworth NG12 5GG, Notts, England</t>
  </si>
  <si>
    <t>UK Research &amp; Innovation (UKRI); Natural Environment Research Council (NERC); NERC British Antarctic Survey; Swedish Museum of Natural History; Australian National University; UK Research &amp; Innovation (UKRI); Natural Environment Research Council (NERC); NERC British Geological Survey</t>
  </si>
  <si>
    <t>Flowerdew, MJ (corresponding author), British Antarctic Survey, High Cross,Madingley Rd, Cambridge CB3 0ET, England.</t>
  </si>
  <si>
    <t>mf@bas.ac.uk</t>
  </si>
  <si>
    <t>Curtis, Mike/HKV-6176-2023; Millar, Ian L/F-1541-2010; Yakymchuk, Chris/H-1297-2013; Vaughan, Alan PM/B-7829-2010; Fanning, Christopher Mark/I-6449-2016; Whitehouse, Martin/E-1425-2013</t>
  </si>
  <si>
    <t>Fanning, Christopher Mark/0000-0003-3331-3145; Whitehouse, Martin/0000-0003-2227-577X; Horstwood, Matthew/0000-0003-4200-8193; Flowerdew, Michael/0000-0002-9710-2593</t>
  </si>
  <si>
    <t>0016-7606</t>
  </si>
  <si>
    <t>1943-2674</t>
  </si>
  <si>
    <t>GEOL SOC AM BULL</t>
  </si>
  <si>
    <t>Geol. Soc. Am. Bull.</t>
  </si>
  <si>
    <t>10.1130/B25891.1</t>
  </si>
  <si>
    <t>167QG</t>
  </si>
  <si>
    <t>WOS:000246465600002</t>
  </si>
  <si>
    <t>Peters, LE; Anandakrishnan, S; Alley, RB; Smith, AM</t>
  </si>
  <si>
    <t>Peters, Leo E.; Anandakrishnan, Sridhar; Alley, Richard B.; Smith, Andrew M.</t>
  </si>
  <si>
    <t>Extensive storage of basal meltwater in the onset region of a major West Antarctic ice stream</t>
  </si>
  <si>
    <t>subglacial meltwater; West Antarctica; ice streams; seismic amplitude</t>
  </si>
  <si>
    <t>BLACK RAPIDS GLACIER; SEISMIC OBSERVATIONS; SUBGLACIAL GEOLOGY; VARIEGATED GLACIER; BENEATH; ALASKA; SHEET; LAYER; WATER; FLOW</t>
  </si>
  <si>
    <t>A major meltwater body exists beneath a tributary of Bindschadler Ice Stream, West Antarctica, in a region where subglacial lakes have not been mapped but near where rapid vertical motion of the ice sheet surface has suggested shifting of a subglacial water body. The water is trapped by a local reversal in ice-air surface slope arising from ice flow over variable basal topography and from the positive feedback of basal lubrication from the trapped water. Strong variations in the water content of the sediments upglacier of the water body arise from a similar process. These results are revealed by a novel application of the amplitude variation with offset (AVO) seismic technique. The existence of such water bodies and of the strong spatial variation in subglacial sediment properties is not captured in current models of subglacial hydrology, lubrication of ice stream motion, and sediment transport.</t>
  </si>
  <si>
    <t>Penn State Univ, Dept Geosci, University Pk, PA 16802 USA; British Antarctic Survey, NERC, Cambridge CB3 0ET, England</t>
  </si>
  <si>
    <t>Pennsylvania Commonwealth System of Higher Education (PCSHE); Pennsylvania State University; Pennsylvania State University - University Park; UK Research &amp; Innovation (UKRI); Natural Environment Research Council (NERC); NERC British Antarctic Survey</t>
  </si>
  <si>
    <t>Peters, LE (corresponding author), Penn State Univ, Dept Geosci, University Pk, PA 16802 USA.</t>
  </si>
  <si>
    <t>10.1130/G23222A.1</t>
  </si>
  <si>
    <t>184FY</t>
  </si>
  <si>
    <t>WOS:000247627700015</t>
  </si>
  <si>
    <t>Bak, YS; Yoo, KC; Yoon, HI; Lee, JD; Yun, H</t>
  </si>
  <si>
    <t>Bak, Young-Suk; Yoo, Kyu-Cheul; Yoon, Ho Il; Lee, Jong-Deock; Yun, Hyesu</t>
  </si>
  <si>
    <t>Diatom evidence for Holocene paleoclimatic change in the South Scotia Sea, West Antarctica</t>
  </si>
  <si>
    <t>GEOSCIENCES JOURNAL</t>
  </si>
  <si>
    <t>diatom; Scotia Sea; late Quaternary; sea ice; paleoclimate</t>
  </si>
  <si>
    <t>ICE-EDGE; SURFACE SEDIMENTS; ROSS SEA; CIRCUMPOLAR CURRENT; PENINSULA REGION; ASSEMBLAGES; CLIMATE; GULF; CALIFORNIA; PATTERNS</t>
  </si>
  <si>
    <t>Diatom data of the core sediment from a deep basin in the South Scotia Sea, West Antarctica provide high-resolution information on changes in oceanographic processes and paleoclimate during the late Quaternary. Three main climatic changes can be distinguished in diatom assemblages: Last Glacial Maximum (LGM), mid-Holocene climatic optimum and Neoglacial cold event. Diatom assemblages have been deposited in a variable sea ice condition over the last 25,000 yr in response to the climate change. During the LGM to early-Holocene (23,370-8,300 yr BP), the core site might be influenced by increased dense sea-ice cover, which could reduce biogenic flux from the surface water, depositing relatively increased amount of sea ice-related diatoms (Actinocyclas actinochilus, Eucampia antamtica, Fragilariopsis curta, and Fragilariopsis cylindrus). During these periods, it is likely that the increased sea ice cover between the Weddell and Scotia seas would have severely prevented Chaetoceros resting spores in the Weddell Sea ice margin from being laterally advected to the Scotia Sea, resulting in the reduction of C. resting spore abundance in the sediment. Afterward, a warm period followed from 8,300 to 2,400 yr BP in the mid Holocene when open water assemblages (Rhizosolenia styliformis and Thalassiosira antarctica (warm)) were deposited. Significant dilution of the number of Fragilariopsis kerguelensis indicates the opening of communication between the Weddell and Scotia seas allowing lateral advection of C resting spores from the Weddell Sea to the Scotia Sea. A colder condition (Neoglacial cooling) then resumed since &lt; 2,400 yr BP in the late Holocene supported by other paleoclimatic records in the Antarctic Peninsula. The assemblage is characterized either by the increase of sea ice-related diatoms (A. actinochilus and E cylindrus) or by the decrease of open water taxa (R. styliformis and T antarctica (warm)) compared to that in the mid-Holocene optimum. The loose sea-ice assemblage was, however, different from dense sea-ice assemblage deposited in the LGM. Similarity of abundance of Chaetoceros between the Neoglacial and the mid-Holocene implies that the loose sea ice condition was not able to sufficiently restrict the lateral advection of C resting spore to the Scotia Sea from the Weddell Sea.</t>
  </si>
  <si>
    <t>Korea Polar Res Inst, Inchon 406840, South Korea; Chonbuk Natl Univ, Dept Earth &amp; Environm Sci, Jeonju 561756, South Korea; Chungnam Natl Univ, Dept Geol, Taejon 305764, South Korea</t>
  </si>
  <si>
    <t>Korea Institute of Ocean Science &amp; Technology (KIOST); Korea Polar Research Institute (KOPRI); Jeonbuk National University; Chungnam National University</t>
  </si>
  <si>
    <t>Yoo, KC (corresponding author), Korea Polar Res Inst, Songdo Techno Pk,7-50,POB 32, Inchon 406840, South Korea.</t>
  </si>
  <si>
    <t>kcyoo@kopri.re.kr</t>
  </si>
  <si>
    <t>Yoo, Kyu-Cheul/0000-0002-6186-7535</t>
  </si>
  <si>
    <t>GEOLOGICAL SOCIETY KOREA</t>
  </si>
  <si>
    <t>NEW BLD RM 813, 22, TEHERAN-RO 7-GIL, SEOUL, 06130, SOUTH KOREA</t>
  </si>
  <si>
    <t>1226-4806</t>
  </si>
  <si>
    <t>1598-7477</t>
  </si>
  <si>
    <t>GEOSCI J</t>
  </si>
  <si>
    <t>Geosci. J.</t>
  </si>
  <si>
    <t>10.1007/BF02910377</t>
  </si>
  <si>
    <t>158JS</t>
  </si>
  <si>
    <t>WOS:000245788400002</t>
  </si>
  <si>
    <t>Colin, S; Borchers, D; Paxton, CGM; Burt, L; de la Mare, W</t>
  </si>
  <si>
    <t>Southwell, Colin; Borchers, David; Paxton, Charles G. M.; Burt, Louise; de la Mare, William</t>
  </si>
  <si>
    <t>Estimation of detection probability in aerial surveys of Antarctic pack-ice seals</t>
  </si>
  <si>
    <t>JOURNAL OF AGRICULTURAL BIOLOGICAL AND ENVIRONMENTAL STATISTICS</t>
  </si>
  <si>
    <t>generalized additive model; generalized linear model; heterogeneity; line transect; mark-recapture</t>
  </si>
  <si>
    <t>LINE TRANSECT SURVEYS; SIZE</t>
  </si>
  <si>
    <t>We use line transect detection functions together with generalized linear and additive models to estimate detection probability when detection on the line (g(0)) may not be certain. The methods provide a flexible way of modeling detection probability for independent observer surveys, and for investigating the effects of explanatory variables. Analysis of data from an aerial survey of pack-ice seals produced g (0) estimates substantially below I for some observers (it varied from 0.80 to 0.98), demonstrated a fairly complex dependence of detection probability on covariates, and showed negative correlation between observers' search width and their g(0). In addition to illustrating the utility of generalized additive models for capturing the effect of covariates on detection probability, the analysis suggests that detection functions may be sufficiently variable that use of g(0) correction factors obtained from other surveys would be inadvisable. We recommend that estimation of g(0) be considered for all aerial surveys; if g(0) is found to be very close to 1, estimation from subsequent surveys under the assumption that it is 1 may be reasonable, but without any estimation of g(0), the assumption that it is 1 is a matter of faith.</t>
  </si>
  <si>
    <t>Australian Govt Antarctic Div, Kingston, Tas 7050, Australia; Simon Fraser Univ, Sch Resource &amp; Environm Management, Burnaby, BC V5A 1S6, Canada</t>
  </si>
  <si>
    <t>Australian Antarctic Division; Simon Fraser University</t>
  </si>
  <si>
    <t>Colin, S (corresponding author), Australian Govt Antarctic Div, Channel Highway, Kingston, Tas 7050, Australia.</t>
  </si>
  <si>
    <t>colin.southwell@aad.gov.au; dlb@mcs.st-and.ac.uk; cgp2@st-andrews.ac.uk; louise@mcs.st-and.ac.uk; delamare@sfu.ca</t>
  </si>
  <si>
    <t>, David/X-5730-2019</t>
  </si>
  <si>
    <t>Borchers, David/0000-0002-3944-0754; Paxton, Charles/0000-0002-9350-3197</t>
  </si>
  <si>
    <t>1085-7117</t>
  </si>
  <si>
    <t>1537-2693</t>
  </si>
  <si>
    <t>J AGR BIOL ENVIR ST</t>
  </si>
  <si>
    <t>J. Agric. Biol. Environ. Stat.</t>
  </si>
  <si>
    <t>10.1198/108571107X162920</t>
  </si>
  <si>
    <t>Biology; Mathematical &amp; Computational Biology; Statistics &amp; Probability</t>
  </si>
  <si>
    <t>Life Sciences &amp; Biomedicine - Other Topics; Mathematical &amp; Computational Biology; Mathematics</t>
  </si>
  <si>
    <t>144SD</t>
  </si>
  <si>
    <t>WOS:000244815500003</t>
  </si>
  <si>
    <t>Sanmartín, I; Wanntorp, L; Winkworth, RC</t>
  </si>
  <si>
    <t>Sanmartin, Isabel; Wanntorp, Livia; Winkworth, Richard C.</t>
  </si>
  <si>
    <t>West Wind Drift revisited:: testing for directional dispersal in the Southern Hemisphere using event-based tree fitting</t>
  </si>
  <si>
    <t>JOURNAL OF BIOGEOGRAPHY</t>
  </si>
  <si>
    <t>Antarctic Circumpolar Current; asymmetric dispersal; Australia; concerted dispersal; event-based tree fitting; Gondwana; New Zealand; Southern Hemisphere; southern South America; West Wind Drift</t>
  </si>
  <si>
    <t>LONG-DISTANCE DISPERSAL; PHYLOGENETIC-RELATIONSHIPS; VICARIANCE BIOGEOGRAPHY; MOLECULAR PHYLOGENETICS; SPECIAL EMPHASIS; DIVERSIFICATION; ORIGIN; EVOLUTION; PATTERNS; PACIFIC</t>
  </si>
  <si>
    <t>Aim Recent studies suggest that if constrained by prevailing wind or ocean currents dispersal may produce predictable, repeated distribution patterns. Dispersal mediated by the West Wind Drift (WWD) and Antarctic Circumpolar Current (AAC) has often been invoked to explain the floristic similarities of Australia, South America and New Zealand. If these systems have been important dispersal vectors then eastward dispersal - from Australia to New Zealand and the western Pacific to South America - is expected to predominate. We investigate whether phylogenies for Southern Hemisphere plant groups provide evidence of historical dispersal asymmetry and more specifically whether inferred asymmetries are consistent with the direction of the WWD/AAC. Location Southern Hemisphere. Methods We assembled a data set of 23 published phylogenies for plant groups that occur in New Zealand, Australia and/or South America. We used parsimony-based tree fitting to infer the number and direction of dispersals within each group. Observed dispersal asymmetries were tested for significance against a distribution of expected values. Results Our analyses suggest that dispersal has played a major role in establishing present distributions and that there are significant patterns of asymmetry in Southern Hemisphere dispersal. Consistent with the eastward direction of the WWD/ACC, dispersal from Australia to New Zealand was inferred significantly more often than in the reverse direction. No significant patterns of dispersal asymmetry were found between the western Pacific landmasses and South America. However, eastward dispersal was more frequently inferred between Australia and South America, while for New Zealand-South American events westward dispersal was more common. Main Conclusions Our results suggest that eastward circumpolar currents have constrained the dispersal of plants between Australia and New Zealand. However, the WWD/ACC appear to have had less of an influence on dispersal between the western Pacific landmasses and South America. This observation may suggest that differences in dispersal mechanism are important - direct wind or water dispersal vs. stepping-stone dispersal along the Antarctic coast. While our analyses provide useful preliminary insights into dispersal asymmetry in the Southern Hemisphere we will need larger data sets and additional methodological advances in order to test fully these dispersal patterns and infer processes from phylogenetic data.</t>
  </si>
  <si>
    <t>Uppsala Univ, Evolut Biol Ctr, Dept Systemat Zool, SE-75236 Uppsala, Sweden; Stockholm Univ, Dept Bot, S-10691 Stockholm, Sweden; Univ Sao Paulo, Inst Biociencias, Dept Bot, Sao Paulo, Brazil</t>
  </si>
  <si>
    <t>Uppsala University; Stockholm University; Universidade de Sao Paulo</t>
  </si>
  <si>
    <t>Sanmartín, I (corresponding author), Uppsala Univ, Evolut Biol Ctr, Dept Systemat Zool, Norbyvagen 18D, SE-75236 Uppsala, Sweden.</t>
  </si>
  <si>
    <t>isabel.sanmartin@ebc.uu.se</t>
  </si>
  <si>
    <t>Sanmartin, Isabel/G-3131-2015</t>
  </si>
  <si>
    <t>Sanmartin, Isabel/0000-0001-6104-9658; Winkworth, Richard/0000-0001-5394-3094</t>
  </si>
  <si>
    <t>0305-0270</t>
  </si>
  <si>
    <t>1365-2699</t>
  </si>
  <si>
    <t>J BIOGEOGR</t>
  </si>
  <si>
    <t>J. Biogeogr.</t>
  </si>
  <si>
    <t>10.1111/j.1365-2699.2006.01655.x</t>
  </si>
  <si>
    <t>Ecology; Geography, Physical</t>
  </si>
  <si>
    <t>134WA</t>
  </si>
  <si>
    <t>WOS:000244113900004</t>
  </si>
  <si>
    <t>Fragata, F; de la Fuente, D; Almeida, E; Santos, D; Morcillo, M</t>
  </si>
  <si>
    <t>Fragata, F.; de la Fuente, D.; Almeida, E.; Santos, D.; Morcillo, M.</t>
  </si>
  <si>
    <t>Solventborne paint systems on carbon steel and hot-dip galvanized steel for a wide range of atmospheric exposures</t>
  </si>
  <si>
    <t>JOURNAL OF COATINGS TECHNOLOGY AND RESEARCH</t>
  </si>
  <si>
    <t>corrosion testing; corrosion protection; weatherability; solvent-based</t>
  </si>
  <si>
    <t>The paper analyzes the performance of solventborne paint systems applied on carbon steel and hot-dip galvanized steel in a wide range of atmospheric exposures. The study has involved paint systems exposure for 3.5 years in eight natural atmospheres. The atmospheric conditions cover from temperate rural climates to tropical severe marine and Antarctic coastal regions. The paint systems included several alkyds formulated with a variety of pigments (anticorrosive and barrier), epoxies, chlorinated rubber, and zinc-rich (ethyl silicate and epoxy). It has been concluded that in rural and urban atmospheres alkyd systems afford equivalent anticorrosive protection of steel to the epoxy/polyurethane system. The toxic red lead pigment may be replaced in long linseed-oil alkyd primer paints by non-toxic pigments, such as a mixture of micaceous iron oxides (MIO) and black iron oxides or zinc phosphate, without affecting the anticorrosive properties of the paint system. In aggressive atmospheres (industrial, marine), paint systems including zinc-rich primers or applied on galvanized steel must be used, especially in surface regions with coating faults (scribes).</t>
  </si>
  <si>
    <t>CSIC, CENIM, Natl Ctr Met Res, E-28040 Madrid, Spain; CEPEL, BR-21940590 Rio De Janeiro, Brazil; INETI, P-1699 Lisbon, Portugal</t>
  </si>
  <si>
    <t>Consejo Superior de Investigaciones Cientificas (CSIC); Centro Nacional de Investigaciones Metalurgicas (CENIM); Eletrobras Cepel</t>
  </si>
  <si>
    <t>Morcillo, M (corresponding author), CSIC, CENIM, Natl Ctr Met Res, Avda Gregorio Amo 8, E-28040 Madrid, Spain.</t>
  </si>
  <si>
    <t>director@cenim.csic.es</t>
  </si>
  <si>
    <t>1945-9645</t>
  </si>
  <si>
    <t>1935-3804</t>
  </si>
  <si>
    <t>J COAT TECHNOL RES</t>
  </si>
  <si>
    <t>J. Coat. Technol. Res.</t>
  </si>
  <si>
    <t>10.1007/s11998-007-9003-6</t>
  </si>
  <si>
    <t>Chemistry, Applied; Materials Science, Coatings &amp; Films</t>
  </si>
  <si>
    <t>Chemistry; Materials Science</t>
  </si>
  <si>
    <t>199KN</t>
  </si>
  <si>
    <t>WOS:000248694800009</t>
  </si>
  <si>
    <t>Smith, AM</t>
  </si>
  <si>
    <t>Smith, Andrew M.</t>
  </si>
  <si>
    <t>Subglacial bed properties from normal-incidence seismic reflection data</t>
  </si>
  <si>
    <t>JOURNAL OF ENVIRONMENTAL AND ENGINEERING GEOPHYSICS</t>
  </si>
  <si>
    <t>Conference on Geophysics and Glacial Materials</t>
  </si>
  <si>
    <t>SEP 14-16, 2005</t>
  </si>
  <si>
    <t>Northumbria Univ, Sch Appl Sci, Newcastle upon Tyne, ENGLAND</t>
  </si>
  <si>
    <t>Northumbria Univ, Sch Appl Sci</t>
  </si>
  <si>
    <t>ICE STREAM-B; WEST ANTARCTICA; BASAL CONDITIONS; BENEATH; TILL; DEFORMATION; GLACIER; BAKANINBREEN; PROPAGATION; DYNAMICS</t>
  </si>
  <si>
    <t>Recent applications of the normal-incidence seismic reflection technique to studying subglacial conditions are summarized. Some of the important aspects of the technique are discussed, including critical acquisition parameters and particular strengths and weaknesses. The main reason for deploying this technique, rather than other seismic methods, is that data acquisition is simpler and requires fewer resources. Current limitations of the technique include the inability to determine subglacial seismic velocities, uncertainty in the attenuation coefficient for ice, and assumptions of source repeatability. The reflection coefficient at the ice-bed interface is calculated from the energy reduction between primary and multiple reflections. From this, the acoustic impedance of the bed is derived and used to interpret the bed material. Beneath fast-flowing ice, dilatant, deforming sediment has been distinguished from a lodged sediment bed, using porosity as a proxy for sediment dilation. Subglacial water and permafrost have also been interpreted. Data from a number of locations can be used to develop a model of the basal conditions of a complete glacier. Results from sites on ice streams in West Antarctica show how the ice encounters a greater or lesser restraint to flow, from different basal conditions. Application to a glacier in the Arctic, suggests its most recent surge terminated when water escaped through discontinuous permafrost beneath the ice. Further glaciological questions that could be addressed using the technique are proposed.</t>
  </si>
  <si>
    <t>Smith, AM (corresponding author), British Antarctic Survey, NERC, Madingley Rd, Cambridge CB3 0ET, England.</t>
  </si>
  <si>
    <t>ENVIRONMENTAL ENGINEERING GEOPHYSICAL SOC</t>
  </si>
  <si>
    <t>DENVER</t>
  </si>
  <si>
    <t>1720 SOUTH BELLAIRE, STE 110, DENVER, CO 80222-433 USA</t>
  </si>
  <si>
    <t>1083-1363</t>
  </si>
  <si>
    <t>J ENVIRON ENG GEOPH</t>
  </si>
  <si>
    <t>J. Environ. Eng. Geophys.</t>
  </si>
  <si>
    <t>10.2113/JEEG12.1.3</t>
  </si>
  <si>
    <t>Geochemistry &amp; Geophysics; Engineering, Geological</t>
  </si>
  <si>
    <t>Geochemistry &amp; Geophysics; Engineering</t>
  </si>
  <si>
    <t>158FW</t>
  </si>
  <si>
    <t>WOS:000245778100002</t>
  </si>
  <si>
    <t>King, EC; Jarvis, EP</t>
  </si>
  <si>
    <t>King, Edward C.; Jarvis, Eric P.</t>
  </si>
  <si>
    <t>Use of shear waves to measure Poisson's Ratio in polar firn</t>
  </si>
  <si>
    <t>WEST ANTARCTICA; ICE; SURFACE; DENSIFICATION; SUBSURFACE; GLACIERS; RADAR; MODEL</t>
  </si>
  <si>
    <t>We conducted a seismic experiment on polar firn on Adelaide Island, Antarctica. We measured the speed of compressional and shear waves at different depths in the firn by sampling waves that return to the surface following continuous refraction. To overcome the difficulty of picking shear wave arrivals in the presence of dispersed compressional waves, we made separate recordings using seismic sources applied to first one side of a pit, then the other, using first a hammer as the energy source and then small explosive charges. When the polarity of one of the records was reversed and then the two records summed together, the compressional wave arrivals were almost completely attenuated and the shear waves enhanced. The results provide the variation of P- and S-wave speeds with depth in the range 0 to 50 m, which were then used to derive the variation of Poisson's Ratio with depth. We find, for a location that experiences positive air temperatures during some summer days, that Poisson's ratio is around 0.2 at the surface, rises rapidly to around 0.3 over the first ten meters, and then rises more slowly to a maximum of 0.34 at 31.5 m depth. Our greatest depth of investigation was 50 m where Poisson's ratio was 0.326, close to the theoretical value for ice at -10 degrees C.</t>
  </si>
  <si>
    <t>King, EC (corresponding author), British Antarctic Survey, High Cross,Madingley Rd, Cambridge CB3 0ET, England.</t>
  </si>
  <si>
    <t>ENVIRONMENTAL ENGINEERING GEOPHYSICAL SOCIETY</t>
  </si>
  <si>
    <t>10.2113/JEEG12.1.15</t>
  </si>
  <si>
    <t>WOS:000245778100003</t>
  </si>
  <si>
    <t>Bingham, RG; Siegert, MJ</t>
  </si>
  <si>
    <t>Bingham, Robert G.; Siegert, Martin J.</t>
  </si>
  <si>
    <t>Radio-echo sounding over polar ice masses</t>
  </si>
  <si>
    <t>DRONNING MAUD LAND; WEST ANTARCTICA; EAST ANTARCTICA; DOME-C; SUBGLACIAL TOPOGRAPHY; AIRBORNE-RADAR; TRANSANTARCTIC MOUNTAINS; THICKNESS MEASUREMENTS; SPECTRAL ROUGHNESS; INTERNAL LAYERS</t>
  </si>
  <si>
    <t>Radio-echo sounding (RES) constitutes the principal means by which glaciologists investigate the subsurface properties of the polar ice sheets and ice caps. Developed in the 1960s as a method for locating and mapping the subglacial interface beneath extensive regions of ice-covered terrain, thereby to constrain ice volume and morphology, it was quickly discovered that RES supplies numerous additional cryospheric parameters, including strong reflectors derived from subglacial lakes, and isochronous internal reflectors derived from burial of snow deposition events. Soon after its establishment, RES was integrated into long-range aircraft primarily to image the bed across Antarctica and Greenland (1960s/1970s). More recent airborne campaigns (1980s/1990s), while supplementing this coverage and extending to the ice caps of the High Arctic, have utilised only short-range aircraft, and were designed explicitly to support specific scientific studies, such as locating optimal sites for deep ice-coring, constraining the dimensions of subglacial lakes, or resolving internal layers for studies of ice sheet mass balance, form and flow. In parallel with these developments, ground-based (over-snow) RES equipment has also been used to investigate the englacial and subglacial conditions at a number of key locations across the polar ice sheets. This article discusses the many scientific advances which have resulted from these efforts, and offers recommendations for future developments in terms of (1) reanalysis of existing data and (ii) suggestions for future RES campaigns.</t>
  </si>
  <si>
    <t>Univ Bristol, Ctr Polar Observat &amp; Modelling, Bristol Glaciol Ctr, Sch Geog Sci, Bristol BS8 1SS, Avon, England</t>
  </si>
  <si>
    <t>University of Bristol</t>
  </si>
  <si>
    <t>Bingham, RG (corresponding author), British Antarctic Survey, NERC, High Cross,Madingley Rd, Cambridge CB3 0ET, England.</t>
  </si>
  <si>
    <t>Siegert, Martin J/A-3826-2008; Siegert, Martin/M-9939-2019; Bingham, Robert G/G-3576-2017</t>
  </si>
  <si>
    <t>Siegert, Martin J/0000-0002-0090-4806; Siegert, Martin/0000-0002-0090-4806; Bingham, Robert G/0000-0002-0630-2021</t>
  </si>
  <si>
    <t>1943-2658</t>
  </si>
  <si>
    <t>10.2113/JEEG12.1.47</t>
  </si>
  <si>
    <t>WOS:000245778100006</t>
  </si>
  <si>
    <t>Siegert, MJ; Vieli, GJMCL</t>
  </si>
  <si>
    <t>Siegert, Martin J.; Vieli, Gwendolyn J. -M. C. Leysinger</t>
  </si>
  <si>
    <t>Lake glacial history of the Ross Sea sector of the West Antarctic Ice Sheet: Evidence from englacial layering at Talos Dome, East Antarctica</t>
  </si>
  <si>
    <t>GREENLAND; CYCLES</t>
  </si>
  <si>
    <t>The timing of West Antarctic Ice Sheet (WAIS) expansion and retreat during the last glacial cycle is crucial to evaluating the processes controlling ice sheet fluctuations. There is currently debate as to whether grounded ice across what is now the Ross Ice Shelf decayed during the early Holocene or at a time coincident with meltwater pulse 1a. Here we show, from analysis of englacial radio-echo layering across Talos Dome in Oates Land, East Antarctica, that the pattern of snowfall has been relatively consistent for the past 8,000-10,000 years. This was preceded by a transition from glacial maximum-type accumulation at between 10,000 and 20,000 years. We interpret glacial maximum accumulation rates to correspond with the expansion of the grounded WAIS across the Ross shelf, so preventing storm tracks from accessing Victoria Land as they do today (as identified previously at Taylor Dome). The return to modern-type accumulation after 8,000 years is consistent with geological evidence for WAIS retreat. No large-scale alteration in accumulation is observed around 14,000 years ago, during the time of meltwater pulse 1a.</t>
  </si>
  <si>
    <t>Univ Edinburgh, Sch Geosci, Grant Inst, Edinburgh EH9 3JW, Midlothian, Scotland; British Antarctic Survey, Cambridge CB3 0ET, England; Univ Durham, Dept Geog, Sci Labs, Durham DH1 3LE, England</t>
  </si>
  <si>
    <t>University of Edinburgh; UK Research &amp; Innovation (UKRI); Natural Environment Research Council (NERC); NERC British Antarctic Survey; Durham University</t>
  </si>
  <si>
    <t>Siegert, MJ (corresponding author), Univ Edinburgh, Sch Geosci, Grant Inst, Kings Bldg,W Mains Rd, Edinburgh EH9 3JW, Midlothian, Scotland.</t>
  </si>
  <si>
    <t>m.j.siegert@ed.ac.uk</t>
  </si>
  <si>
    <t>Siegert, Martin/M-9939-2019; Siegert, Martin J/A-3826-2008</t>
  </si>
  <si>
    <t>Siegert, Martin/0000-0002-0090-4806; Siegert, Martin J/0000-0002-0090-4806</t>
  </si>
  <si>
    <t>10.2113/JEEG12.1.63</t>
  </si>
  <si>
    <t>WOS:000245778100007</t>
  </si>
  <si>
    <t>Harris, JK; Blair, J; Mastroianni, J; Hansen, A; Walker, SE; Miller, M; Bowser, SS</t>
  </si>
  <si>
    <t>Harris, J. K.; Blair, J.; Mastroianni, J.; Hansen, A.; Walker, S. E.; Miller, M.; Bowser, S. S.</t>
  </si>
  <si>
    <t>In situ time-lapse observation of Antarctic foraminifera.</t>
  </si>
  <si>
    <t>JOURNAL OF EUKARYOTIC MICROBIOLOGY</t>
  </si>
  <si>
    <t>Sage Coll, Troy, NY USA; Magee Sci Co, Berkeley, CA USA; Univ Georgia, Dept Geol, Athens, GA 30602 USA; Vanderbilt Univ, Dept Earth Environm Sci, Nashville, TN USA; Wadsworth Ctr, New York State Dept Hlth, Albany, NY USA</t>
  </si>
  <si>
    <t>Russell Sage College; University System of Georgia; University of Georgia; Vanderbilt University; State University of New York (SUNY) System; Wadsworth Center</t>
  </si>
  <si>
    <t>1066-5234</t>
  </si>
  <si>
    <t>J EUKARYOT MICROBIOL</t>
  </si>
  <si>
    <t>J. Eukaryot. Microbiol.</t>
  </si>
  <si>
    <t>12S</t>
  </si>
  <si>
    <t>151TB</t>
  </si>
  <si>
    <t>WOS:000245312600020</t>
  </si>
  <si>
    <t>Ulrich, PN; Marsh, AG; Bowser, SS</t>
  </si>
  <si>
    <t>Ulrich, P. N.; Marsh, A. G.; Bowser, S. S.</t>
  </si>
  <si>
    <t>Respiration of Antarctic benthic foraminifera - optical microplate respirometry and effects of oxygen limitation.</t>
  </si>
  <si>
    <t>Univ Delaware, Coll Marine Studies, Lewes, DE 19958 USA; Wadsworth Ctr, New York State Dept Hlth, Albany, NY USA</t>
  </si>
  <si>
    <t>University of Delaware; State University of New York (SUNY) System; Wadsworth Center</t>
  </si>
  <si>
    <t>15S</t>
  </si>
  <si>
    <t>WOS:000245312600029</t>
  </si>
  <si>
    <t>Moran, DM; Anderson, OR; Dennett, MR; Caron, DA; Gast, RJ</t>
  </si>
  <si>
    <t>Moran, Dawn M.; Anderson, O. Roger; Dennett, Mark R.; Caron, David A.; Gast, Rebecca J.</t>
  </si>
  <si>
    <t>A description of seven Antarctic marine Gymnamoebae including a new subspecies, two new species and a new genus:: Neoparamoeba aestuarina antarctica n. subsp., Platyamoeba oblongata n. sp., Platyamoeba contorta n. sp and Vermistella antarctica n. gen. n. sp.</t>
  </si>
  <si>
    <t>Amoebae; cold water; microplankton; nanoplankton; protist; protistan community; psychrophilic; Ross Sea</t>
  </si>
  <si>
    <t>NAKED AMEBAS GYMNAMOEBAE; RIBOSOMAL-RNA GENE; CLYDE-SEA AREA; MOLECULAR CHARACTERIZATION; OLIGONUCLEOTIDE PROBES; GROWTH; SEDIMENTS; PAGE; CLASSIFICATION; PHYLOGENY</t>
  </si>
  <si>
    <t>Seven marine gymnamoebae were isolated from different environments of seawater, slush (pack ice meltwater), and sediment in the Ross Sea area of Antarctica. All amoebae were isolated and maintained at temperatures below 4 degrees C. Growth, rate of locomotion, and general morphology were observed at an environmentally appropriate temperature (1 degrees C) and at room temperature (similar to 25 degrees C). Molecular (srDNA sequences) and microscopical techniques were used to identify the gymnamoebae and establish their phylogenetic affinities. Three isolates (S-131-2, SL-200, and W4-3) were assigned to a psychrophilic subspecies of Neoparamoeba aestuarina, N. aestuarina antarctica n. subsp., one isolate (S-205) was assigned to a new species of Platyamoeba, P. oblongata n. sp., two isolates (W51C#4 &amp; W51C#5) were also assigned to a new species of Platyamoeba, P. contorta n. sp., and one isolate (S-241) was a novel psychrophilic gymnamoeba Vermistella antarctica n. gen. n. sp. Molecular and morphological results revealed that V. antarctica was not related to any described family of gymnamoebae. Strains S-205, W51C#4, and W51C#5 were capable of locomotion at room temperature, while strains SL-200, S-131-2, W4-3, and S-241 exhibited locomotion only below similar to 10 degrees C. Our results imply that the Antarctic environment is host both to cosmopolitan gymnamoebae that have acquired adaptations for existence at low environmental temperature and to apparently novel psychrophilic amoebae described here for the first time.</t>
  </si>
  <si>
    <t>Woods Hole Oceanog Inst, Woods Hole, MA 02543 USA; Columbia Univ, Lamont Doherty Geol Observ, Palisades, NY 10964 USA; Univ So Calif, Dept Biol Sci, Los Angeles, CA 90089 USA</t>
  </si>
  <si>
    <t>Woods Hole Oceanographic Institution; Columbia University; University of Southern California</t>
  </si>
  <si>
    <t>dmoran@whoi.edu</t>
  </si>
  <si>
    <t>Gast, Rebecca J/0000-0003-3875-3975</t>
  </si>
  <si>
    <t>1550-7408</t>
  </si>
  <si>
    <t>10.1111/j.1550-7408.2007.00249.x</t>
  </si>
  <si>
    <t>WOS:000245312600188</t>
  </si>
  <si>
    <t>Wujcik, JM; Wang, G; Eastman, JT; Sidell, BD</t>
  </si>
  <si>
    <t>Wujcik, Jody M.; Wang, George; Eastman, Joseph T.; Sidell, Bruce D.</t>
  </si>
  <si>
    <t>Morphometry of retinal vasculature in Antarctic fishes is dependent upon the level of hemoglobin in circulation</t>
  </si>
  <si>
    <t>antarctic fish; hemoglobin; retina; vascular density; icefish; notothenioid; hematocrit; nitric oxide; circulation; morphometry</t>
  </si>
  <si>
    <t>CHAENOCEPHALUS-ACERATUS; CHORIOALLANTOIC MEMBRANE; FINE-STRUCTURE; BLOOD-FLOW; ICEFISHES; VASCULARIZATION; CHANNICHTHYIDAE; NOTOTHENIOIDEI; MORPHOLOGY; BRAIN</t>
  </si>
  <si>
    <t>We quantitatively assessed ocular vascular patterns of six Antarctic notothenioid fishes that vary in their expression of the circulating oxygen-binding protein, hemoglobin (Hb). Digital image analyses revealed marked differences in vessel morphometries among notothenioid species. Hemoglobinless (-Hb) icefishes display mean vessel length densities that are greater (Chaenocephalus aceratus, 5.51 +/- 0.32 mm mm(-2); Champsocephalus gunnari, 5.15 +/- 0.50 mm mm(-2)) than those observed in red-blooded (+Hb) species (Gymnodraco acuticeps, 5.20 +/- 0.46 mm mm(-2); Parachaenichthyes charcoti, 4.40 +/- 0.30 mm mm(-2); Trematomus hansoni, 3.94 +/- 0.08 mm mm(-2); Notothenia coriiceps, 2.48 +/- 0.21 mm mm(-2)). -Hb fishes also have mean vessel diameters that are similar to 1.5 times greater than vessel diameters of +Hb species (-Hb, 0.193 +/- 0.006 mm; +Hb, 0.125 +/- 0.005 mm). Vascular density index (VDI), a stereological index that is affected by both vessel number and length, is greatest in -Hb C. aceratus ( 3.51 +/- 0.20) and lowest in +Hb N. coriiceps (1.58 +/- 0.14). Among four +Hb species, there is a direct relationship between red blood cell content and retinal vasculature. Hematocrit (Hct) is inversely correlated to vascular density (r(2)=0.934) and positively correlated to intervessel distance (r(2)=0.898) over a &gt; 2.3-fold range of Hct. These results indicate that anatomical capacity to supply blood to the retina increases to compensate for decreases in oxygen-carrying capacity of the blood.</t>
  </si>
  <si>
    <t>Univ Maine, Sch Marine Sci, Orono, ME 04469 USA; Univ Washington, Dept Biol, Seattle, WA 98195 USA; Ohio Univ, Dept Biomed Sci, Athens, OH 45701 USA</t>
  </si>
  <si>
    <t>University of Maine System; University of Maine Orono; University of Washington; University of Washington Seattle; University System of Ohio; Ohio University</t>
  </si>
  <si>
    <t>Sidell, BD (corresponding author), Univ Maine, Sch Marine Sci, 5751 Murray Hall, Orono, ME 04469 USA.</t>
  </si>
  <si>
    <t>bsidell@maine.edu</t>
  </si>
  <si>
    <t>Eastman, Joseph T./O-6150-2019; Eastman, Joseph T/A-9786-2008</t>
  </si>
  <si>
    <t>Eastman, Joseph T./0000-0003-3868-261X;</t>
  </si>
  <si>
    <t>MAR 1</t>
  </si>
  <si>
    <t>10.1242/jeb.001867</t>
  </si>
  <si>
    <t>142EU</t>
  </si>
  <si>
    <t>WOS:000244633000016</t>
  </si>
  <si>
    <t>Hayward, SAL; Rinehart, JP; Sandro, LH; Lee, RE; Denlinger, DL</t>
  </si>
  <si>
    <t>Hayward, Scott A. L.; Rinehart, Joseph P.; Sandro, Luke H.; Lee, Richard E., Jr.; Denlinger, David L.</t>
  </si>
  <si>
    <t>Slow dehydration promotes desiccation and freeze tolerance in the Antarctic midge Belgica antarctica</t>
  </si>
  <si>
    <t>desiccation; freezing tolerance; heat-shock proteins; Chironomidae; polar insects</t>
  </si>
  <si>
    <t>COLLEMBOLAN ONYCHIURUS-ARCTICUS; SHOCK-PROTEIN TRANSCRIPT; WATER-VAPOR ABSORPTION; COLD-TOLERANCE; FLESH FLY; HEAT-SHOCK; ENVIRONMENTAL PHYSIOLOGY; OVERWINTERING STRATEGIES; CRYPTOPYGUS-ANTARCTICUS; DROUGHT ACCLIMATION</t>
  </si>
  <si>
    <t>Adaptations to low moisture availability are arguably as important as cold resistance for polar terrestrial invertebrates, especially because water, in the form of ice, is biologically inaccessible for much of the year. Desiccation responses under ecologically realistic soil humidity conditions-those close to the wilting points of plants [98.9% relative humidity (RH)]-have not previously been examined in polar insect species. In the current study we show that, when desiccated at 98.2% RH, larvae of the Antarctic midge Belgica antarctica are more tolerant of dehydration than larvae desiccated at lower humidities (75% RH), and develop an increased tolerance to freezing. The slow rate of desiccation at this high RH enabled more than 50% of larvae to survive the loss of &gt; 75% of their osmotically active water (OAW). Survival rates were further increased when rehydration was performed at 100% RH, rather than by direct contact with water. Two days at 98.2% RH resulted in a similar to 30% loss of OAW, and dramatically increased the freeze tolerance of larvae to -10 and -15 degrees C. The supercooling point of animals was not significantly altered by this desiccation treatment, and all larvae were frozen at -10 degrees C. This is the first evidence of desiccation increasing the freeze tolerance of a polar terrestrial arthropod. Maximum water loss and body fluid osmolality were recorded after 5 days at 98.2% RH, but osmolality values returned to predesiccated levels following just 1 h of rehydration in water, well before all the water lost through desiccation had been replenished. This suggests active removal of osmolytes from the extracellular fluids during the desiccation process, presumably to intracellular compartments. Heat-shock proteins appear not to contribute to the desiccation tolerance we observed in B. antarctica. Instead, we suggest that metabolite synthesis and membrane phospholipid adaptation are likely to be the underpinning physiological mechanisms enhancing desiccation and cold tolerance in this species.</t>
  </si>
  <si>
    <t>Ohio State Univ, Dept Entomol, Columbus, OH 43210 USA; Univ Liverpool, Sch Biol Sci, Liverpool L69 7ZB, Merseyside, England; USDA ARS, Red River Valley Stn, Fargo, ND 58105 USA; Miami Univ, Dept Zool, Oxford, OH 45056 USA</t>
  </si>
  <si>
    <t>University System of Ohio; Ohio State University; University of Liverpool; United States Department of Agriculture (USDA); University System of Ohio; Miami University</t>
  </si>
  <si>
    <t>Hayward, SAL (corresponding author), Ohio State Univ, Dept Entomol, 1735 Neil Ave, Columbus, OH 43210 USA.</t>
  </si>
  <si>
    <t>salh@liv.ac.uk</t>
  </si>
  <si>
    <t>Hayward, Scott/0000-0002-1899-6630</t>
  </si>
  <si>
    <t>10.1242/jeb.02714</t>
  </si>
  <si>
    <t>WOS:000244633000018</t>
  </si>
  <si>
    <t>Patenaude, NJ; Portway, VA; Schaeff, CM; Bannister, JL; Best, PB; Payne, RS; Rowntree, VJ; Rivarola, M; Baker, CS</t>
  </si>
  <si>
    <t>Patenaude, Nathalie J.; Portway, Vicky A.; Schaeff, Cathy M.; Bannister, John L.; Best, Peter B.; Payne, Roger S.; Rowntree, Vicky J.; Rivarola, Mariana; Baker, C. Scott</t>
  </si>
  <si>
    <t>Mitochondrial DNA diversity and population structure among southern right whales (Eubalaena australis)</t>
  </si>
  <si>
    <t>JOURNAL OF HEREDITY</t>
  </si>
  <si>
    <t>STATISTICAL TESTS; CETACEANS; GENETICS; NORTH</t>
  </si>
  <si>
    <t>The population structure and mitochondrial (mt) DNA diversity of southern right whales (Eubalaena australis) are described from 146 individuals sampled on 4 winter calving grounds (Argentina, South Africa, Western Australia, and the New Zealand sub-Antarctic) and 2 summer feeding grounds (South Georgia and south of Western Australia). Based on a consensus region of 275 base pairs of the mtDNA control region, 37 variable sites defined 37 unique haplotypes, of which only one was shared between regional samples of the Indo-Pacific and South Atlantic Oceans. Phylogenetic reconstruction of the southern right whale haplotypes revealed 2 distinct clades that differed significantly in frequencies between oceans. An analysis of molecular variance confirmed significant overall differentiation among the 4 calving grounds at both the haplotype and the nucleotype levels (F-ST = 0.159; Phi(ST) = 0.238; P &lt; 0.001). Haplotype diversity was significantly lower in the Indo-Pacific (h = 0.701 +/- 0.037) compared with the South Atlantic (h = 0.948 +/- 0.013), despite a longer history of exploitation and larger catches in the South Atlantic. In fact, the haplotype diversity in the Indo-Pacific basin was similar to that of the North Atlantic right whale that currently numbers about 300 animals. Multidimensional scaling of genetic differentiation suggests that gene flow occurred primarily between adjacent calving grounds within an ocean basin, with mixing of lineages from different calving grounds occurring on feeding grounds.</t>
  </si>
  <si>
    <t>Univ Auckland, Sch Biol Sci, Auckland 1, New Zealand; Smithsonian Inst, Mol Genet Lab, Washington, DC 20560 USA; American Univ, Dept Biol, Washington, DC 20006 USA; Western Australian Museum, Perth, WA 6000, Australia; Univ Pretoria, Mammal Res Inst, ZA-0002 Pretoria, South Africa; Whale Conservat Inst, Lincoln, MA 01733 USA; Fundac Patagonia Natl, RA-9120 Madryn, Argentina; Oregon State Univ, Hatfield Marine Sci Ctr, Marine Mammal Program, Newport, OR 97365 USA</t>
  </si>
  <si>
    <t>University of Auckland; Smithsonian Institution; American University; Western Australian Museum; University of Pretoria; Oregon State University</t>
  </si>
  <si>
    <t>Baker, CS (corresponding author), Univ Auckland, Sch Biol Sci, Private Bag 92019, Auckland 1, New Zealand.</t>
  </si>
  <si>
    <t>scott.baker@oregonstate.edu</t>
  </si>
  <si>
    <t>Schaeff, Catherine/0000-0003-3728-9402</t>
  </si>
  <si>
    <t>OXFORD UNIV PRESS INC</t>
  </si>
  <si>
    <t>CARY</t>
  </si>
  <si>
    <t>JOURNALS DEPT, 2001 EVANS RD, CARY, NC 27513 USA</t>
  </si>
  <si>
    <t>0022-1503</t>
  </si>
  <si>
    <t>1465-7333</t>
  </si>
  <si>
    <t>J HERED</t>
  </si>
  <si>
    <t>J. Hered.</t>
  </si>
  <si>
    <t>10.1093/jhered/esm005</t>
  </si>
  <si>
    <t>162XO</t>
  </si>
  <si>
    <t>WOS:000246123000008</t>
  </si>
  <si>
    <t>Ferry, N; Rémy, E; Brasseur, P; Maes, C</t>
  </si>
  <si>
    <t>Ferry, Nicolas; Remy, Elisabeth; Brasseur, Pierre; Maes, Christophe</t>
  </si>
  <si>
    <t>The Mercator global ocean operational analysis system:: Assessment and validation of an 11-year reanalysis</t>
  </si>
  <si>
    <t>36th International Liege Colloquium on Ocean Dynamics</t>
  </si>
  <si>
    <t>MAY 03-07, 2004</t>
  </si>
  <si>
    <t>Liege, BELGIUM</t>
  </si>
  <si>
    <t>data assimilation; global ocean prediction; altimetry; sea level; GODAE</t>
  </si>
  <si>
    <t>GENERAL-CIRCULATION MODEL; TROPICAL PACIFIC-OCEAN; SEA-SURFACE TEMPERATURE; SALINITY VARIABILITY; ALTIMETRIC DATA; MIXED-LAYER; WARM POOL; EL-NINO; PART I; ASSIMILATION</t>
  </si>
  <si>
    <t>This paper presents Prototype Systeme 2 Global (PSY2G), the first Mercator global Ocean General Circulation Model (OGCM) to assimilate along-track sea level anomaly (SLA) satellite data. Based on a coarse resolution ocean model, this system was developed mainly for climatic purposes and will provide, for example, initial oceanic states for coupled ocean-atmosphere seasonal predictions. It has been operational since 3 September 2003 and produces an analysis and a two-week forecast for the global ocean every week. The PSY2G system uses an incremental assimilation scheme based on the Cooper and Haines [Cooper, M., Haines, K., 1996. Data assimilation with water property conservation. J. Geophys. Res., 101, 1059-1077.] lifting-lowering of isopycnals. The SLA increment is obtained using an optimal interpolation method then the correction is partitioned into baroclinic and barotropic contributions. The baroclinic ocean state correction consists of temperature, salinity and geostrophic velocity increments and the barotropic correction is a barotropic velocity increment. A reanalysis (1993-2003) was carried out that enabled the PSY2G system to perform its first operational cycle. All available SLA data sets (TOPEX/Poseidon, ERS2, Geosat-Follow-On, Jason1 and Envisat) were assimilated for the 1993-2003 period. The major objective of this study is to assess the reanalysis from both an assimilation and a thermodynamic point of view in order to evaluate its realism, especially in the tropical band which is a key region for climatic studies. Although the system is also able to deliver forecasts, we have mainly focused on analysis. These results are useful because they give an a priori estimation of the qualities and capabilities of the operational ocean analysis system that has been implemented. In particular, the reanalysis identifies some regional biases in sea level variability such as near the Antarctic Circumpolar Current, in the eastern Equatorial Pacific and in the Norwegian Sea (generally less than 1 cm) with a small seasonal cycle. This is attributed to changes in mean circulation and vertical stratification caused by the assimilation methodology. But the model's low resolution, inaccurate physical parameterisations (especially for ocean-ice interactions) and surface atmospheric forcing also contribute to the occurrence of the SLA biases. A detailed analysis of the thermohaline structure of the ocean reveals that the isopycnal lifting-lowering tends to diffuse vertically the main thermocline. The impact on temperature is that the surface layer (0-200 m) becomes cooler whereas in deeper waters (from 500 to 1500 m), the ocean becomes slightly warmer. This is particularly true in the tropics, between 30 degrees N and 30 degrees S. However it can be demonstrated that the assimilation improves the variability in both surface currents and sub-surface temperature in the Equatorial Pacific Ocean. (c) 2006 Elsevier B.V. All rights reserved.</t>
  </si>
  <si>
    <t>Mercator Ocean, F-31526 Ramonville St Agne, France; Lab Ecoulements Geophys &amp; Ind, F-38041 Grenoble 9, France; Inst Rech &amp; Dev, Lab Etud Geophys &amp; Oceanog Spatiales, F-31400 Toulouse, France</t>
  </si>
  <si>
    <t>Communaute Universite Grenoble Alpes; Institut National Polytechnique de Grenoble; Universite Grenoble Alpes (UGA); Centre National de la Recherche Scientifique (CNRS); Universite de Toulouse; Universite Toulouse III - Paul Sabatier; Centre National de la Recherche Scientifique (CNRS); Institut de Recherche pour le Developpement (IRD); Laboratoire d'Etudes en Geophysique et oceanographie spatiales</t>
  </si>
  <si>
    <t>Ferry, N (corresponding author), Mercator Ocean, 8-10 Rue Hermes,Parc Technol Canal, F-31526 Ramonville St Agne, France.</t>
  </si>
  <si>
    <t>nferry@mercator-ocean.fr</t>
  </si>
  <si>
    <t>maes, christophe/L-4049-2015</t>
  </si>
  <si>
    <t>10.1016/j.jmarsys.2005.08.004</t>
  </si>
  <si>
    <t>147LB</t>
  </si>
  <si>
    <t>WOS:000245003400031</t>
  </si>
  <si>
    <t>Adhikari, BN; Ayres, E; Simmons, B; Wall, DH; Adams, BJ</t>
  </si>
  <si>
    <t>Adhikari, B. N.; Ayres, E.; Simmons, B.; Wall, D. H.; Adams, B. J.</t>
  </si>
  <si>
    <t>A study of the molecular mechanisms of desiccation tolerance in antarctic dry valley nematodes using Expressed Sequenced Tags (EST).</t>
  </si>
  <si>
    <t>JOURNAL OF NEMATOLOGY</t>
  </si>
  <si>
    <t>Brigham Young Univ, Provo, UT 84602 USA; Colorado State Univ, Ft Collins, CO 80523 USA</t>
  </si>
  <si>
    <t>Brigham Young University; Colorado State University</t>
  </si>
  <si>
    <t>Wall, Diana H/F-5491-2011; Adhikari, Bishwo N/E-8144-2013; Adams, Byron/C-3808-2009</t>
  </si>
  <si>
    <t>Adams, Byron/0000-0002-7815-3352</t>
  </si>
  <si>
    <t>SOC NEMATOLOGISTS</t>
  </si>
  <si>
    <t>MARCELINE</t>
  </si>
  <si>
    <t>PO BOX 311, MARCELINE, MO 64658 USA</t>
  </si>
  <si>
    <t>0022-300X</t>
  </si>
  <si>
    <t>J NEMATOL</t>
  </si>
  <si>
    <t>J. Nematol.</t>
  </si>
  <si>
    <t>170CR</t>
  </si>
  <si>
    <t>WOS:000246640000142</t>
  </si>
  <si>
    <t>Thompson, AF; Gille, ST; MacKinnon, JA; Sprintall, J</t>
  </si>
  <si>
    <t>Thompson, Andrew F.; Gille, Sarah T.; MacKinnon, J. A.; Sprintall, Janet</t>
  </si>
  <si>
    <t>Spatial and temporal patterns of small-scale mixing in Drake Passage</t>
  </si>
  <si>
    <t>ANTARCTIC CIRCUMPOLAR CURRENT; TURBULENT DISSIPATION; INTERNAL WAVES; SOUTHERN-OCEAN; WIND; VARIABILITY; ENERGY; OVERTURNS; THORPE; PARAMETERIZATION</t>
  </si>
  <si>
    <t>Temperature and salinity profiles obtained with expendable CTD probes throughout Drake Passage between February 2002 and July 2005 are analyzed to estimate turbulent diapycnal eddy diffusivities to a depth of 1000 m. Diffusivity values are inferred from density/temperature inversions and internal wave vertical strain. Both methods reveal the same pattern of spatial variability across Drake Passage; diffusivity estimates from inversions exceed those from vertical strain by a factor of 3 over most of Drake Passage. The Polar Front (PF) separates two dynamically different regions. Strong thermohaline intrusions characterize profiles obtained north of the PF. South of the PF, stratification is determined largely by salinity, and temperature is typically unstably stratified between 100- and 600-m depth. In the upper 400 m, turbulent diapycnal diffusivities are 0(10(-3) m(2) s(-1)) north of the PF but decrease to 0(10(-3) m(2) s(-1)) or smaller south of the PF. Below 400 m diffusivities typically exceed 10(-4) m(2) s(-1). Diffusivities decay weakly with depth north of the PF, whereas diffusivities increase with depth and peak near the local temperature maximum south of the PF. The meridional pattern in near-surface mixing corresponds to local maxima and minima of both wind stress and wind stress variance. Near-surface diffusivities are also found to be larger during winter months north of the PF. Wind-driven near-inertial waves, strong mesoscale eddy activity, and double-diffusive convection are suggested as possible factors contributing to observed mixing patterns.</t>
  </si>
  <si>
    <t>Univ Calif San Diego, Scripps Inst Oceanog, La Jolla, CA 92093 USA; Univ Calif San Diego, Dept Mech &amp; Aerosp Engn, La Jolla, CA 92093 USA</t>
  </si>
  <si>
    <t>University of California System; University of California San Diego; Scripps Institution of Oceanography; University of California System; University of California San Diego</t>
  </si>
  <si>
    <t>Thompson, AF (corresponding author), Univ E Anglia, Sch Environm Sci, Norwich NR4 7TJ, Norfolk, England.</t>
  </si>
  <si>
    <t>andrew.f.thompson@uea.ac.uk</t>
  </si>
  <si>
    <t>Gille, Sarah/0000-0001-9144-4368; MacKinnon, Jennifer/0000-0002-7690-1185</t>
  </si>
  <si>
    <t>10.1175/JPO3021.1</t>
  </si>
  <si>
    <t>156DU</t>
  </si>
  <si>
    <t>WOS:000245629100009</t>
  </si>
  <si>
    <t>Francis, JE; Haywood, AM; Ashworth, AC; Valdes, PJ</t>
  </si>
  <si>
    <t>Francis, J. E.; Haywood, A. M.; Ashworth, A. C.; Valdes, P. J.</t>
  </si>
  <si>
    <t>Tundra environments in the Neogene Sirius Group, Antarctica: evidence from the geological record and coupled atmosphere-vegetation models</t>
  </si>
  <si>
    <t>TRANSANTARCTIC MOUNTAINS; MIDDLE PLIOCENE; GLACIAL HISTORY; CLIMATE; ICE; MARINE; IMPACT; LEAVES</t>
  </si>
  <si>
    <t>The Neogene Meyer Desert Formation, Sirius Group, at Oliver Bluffs in the Transantarctic Mountains, contains a sequence of glacial deposits formed under a wet-based glacial regime. Within this sequence fluvial deposits have yielded fossil plants that, along with evidence from fossil insects, invertebrates and palaeosols, indicate the existence of tundra conditions at 85 degrees S during the Neogene. Mean annual temperatures of c. - 12 degrees C are estimated, with short summer seasons with temperatures up to +5 degrees C. The current published date for this formation is Pliocene, although this is hotly debated. Reconstructions produced by the TRIFFID and BIOME 4 vegetation models, utilizing a Pliocene climatology derived from the FladAM3 General Circulation Model (running with prescribed boundary conditions from the US Geological Survey PRISM2 dataset), also predict tundra-type vegetation in Antarctica. The consistency of the model outputs with geological evidence demonstrates that a Pliocene age for the Meyer Desert Formation is consistent with proxy environmental reconstructions and numerical model reconstructions for the mid-Pliocene. If so, the East Antarctic Ice Sheet has behaved in a dynamic manner in the recent geological past.</t>
  </si>
  <si>
    <t>Univ Leeds, Sch Earth &amp; Environm, Leeds LS2 9JT, W Yorkshire, England; British Antarctic Survey, Geol Sci Div, Cambridge CB3 0ET, England; N Dakota State Univ, Dept Geosci, Fargo, ND 58105 USA; Univ Bristol, Sch Geog Sci, Bristol BS8 1SS, Avon, England</t>
  </si>
  <si>
    <t>University of Leeds; UK Research &amp; Innovation (UKRI); Natural Environment Research Council (NERC); NERC British Antarctic Survey; North Dakota State University Fargo; University of Bristol</t>
  </si>
  <si>
    <t>Francis, JE (corresponding author), Univ Leeds, Sch Earth &amp; Environm, Leeds LS2 9JT, W Yorkshire, England.</t>
  </si>
  <si>
    <t>j.francis@earth.leeds.ac.uk</t>
  </si>
  <si>
    <t>Valdes, Paul J/C-4129-2013; Valdes, Paul/T-2004-2019</t>
  </si>
  <si>
    <t>Valdes, Paul/0000-0002-1902-3283</t>
  </si>
  <si>
    <t>2041-479X</t>
  </si>
  <si>
    <t>10.1144/0016-76492005-191</t>
  </si>
  <si>
    <t>149JN</t>
  </si>
  <si>
    <t>WOS:000245143300005</t>
  </si>
  <si>
    <t>Vaughan, APM; Storey, BC</t>
  </si>
  <si>
    <t>Vaughan, Alan P. M.; Storey, Bryan C.</t>
  </si>
  <si>
    <t>A new supercontinent self-destruct mechanism: evidence from the Late Triassic-Early Jurassic</t>
  </si>
  <si>
    <t>CARBON-CYCLE PERTURBATION; WRANGELLIA FLOOD-BASALT; LARGE IGNEOUS PROVINCES; OCEANIC ANOXIC EVENT; SEA-LEVEL CHANGE; MANTLE PLUMES; MASS EXTINCTION; BREAK-UP; BLACK SHALES; KIMBERLITE MAGMATISM</t>
  </si>
  <si>
    <t>We present a new conceptual model where supercontinents, by focusing subduction on narrow areas of the 670 km mantle discontinuity, trigger superplume events and initiate their own fragmentation. This supercontinent-triggered superplume mechanism for continental break-up is examined in light of the Mesozoic fragmentation of Pangaea-Gondwana. We summarize the evidence for a superplume event that occurred between 227 and 183 Ma ago, during the Late Triassic-Early Jurassic break-up of Pangaea-Gondwana. The evidence reviewed includes flood magmatism, kimberlite emplacement, plate reorganization and tectonism (including ophiolite obduction events), reversal rate frequency of the geomagnetie field, marine anoxia, deposition of carbon-rich sediments, including oil source rocks and coal, the carbon isotope record, major mass extinctions, and global sea levels. This Late Triassic-Early Jurassic superplume event was comparable in scale with those in the late Proterozoic (c. 800 Ma) and during Cretaceous times (c. 120-80 Ma). Similar to the mid-Cretaceous event, an extended phase of plume magmatism is implicated, with two oceanic and three continental large igneous provinces being emplaced.</t>
  </si>
  <si>
    <t>British Antarctic Survey, Cambridge CB3 0ET, England; Univ Canterbury, Christchurch 1, New Zealand</t>
  </si>
  <si>
    <t>UK Research &amp; Innovation (UKRI); Natural Environment Research Council (NERC); NERC British Antarctic Survey; University of Canterbury</t>
  </si>
  <si>
    <t>Vaughan, APM (corresponding author), British Antarctic Survey, High Cross,Madingley Rd, Cambridge CB3 0ET, England.</t>
  </si>
  <si>
    <t>a.vaughan@bas.ac.uk</t>
  </si>
  <si>
    <t>Vaughan, Alan PM/B-7829-2010</t>
  </si>
  <si>
    <t>10.1144/0016-76492005-109</t>
  </si>
  <si>
    <t>WOS:000245143300012</t>
  </si>
  <si>
    <t>Donda, F; Brancolini, G; O'Brien, PE; De Santis, L; Escutia, C</t>
  </si>
  <si>
    <t>Donda, F.; Brancolini, G.; O'Brien, P. E.; De Santis, L.; Escutia, C.</t>
  </si>
  <si>
    <t>Sedimentary processes in the Wilkes Land margin: a record of Cenozoic East Antarctic Ice Sheet evolution (vol 164, pg 243, 2007)</t>
  </si>
  <si>
    <t>; Escutia, Carlota/B-8614-2015</t>
  </si>
  <si>
    <t>Donda, Federica/0000-0002-1284-5866; O'Brien, Philip/0000-0003-3446-3292; Escutia, Carlota/0000-0002-4932-8619</t>
  </si>
  <si>
    <t>10.1144/0016-7649Er164-1</t>
  </si>
  <si>
    <t>WOS:000245143300020</t>
  </si>
  <si>
    <t>Rao, NVC; Burgess, R; Anand, M; Mainkar, D</t>
  </si>
  <si>
    <t>Rao, N. V. Chalapathi; Burgess, R.; Anand, M.; Mainkar, D.</t>
  </si>
  <si>
    <t>40Ar-39Ar dating of the Kodomali pipe, Bastar craton, India:: A Pan-African (491±11 Ma) age of diamondiferous kimberlite emplacement</t>
  </si>
  <si>
    <t>Meeting on Kimberlites and Related Rocks of India</t>
  </si>
  <si>
    <t>NOV 22-25, 2005</t>
  </si>
  <si>
    <t>Bangalore, INDIA</t>
  </si>
  <si>
    <t>kimberlite; Pan-African age; Kodomali; Bastar craton; Central India</t>
  </si>
  <si>
    <t>K-AR AGES; RB-SR; U-PB; DHARWAR CRATON; EASTERN; EVOLUTION; BELT; LAMPROITES; MINERALOGY; MAGMATISM</t>
  </si>
  <si>
    <t>We report a 40Ar/39Ar whole rock age of 491 +/- 11 Ma for the hypabyssal facies, diamondiferous, Kodomali diatreme from the Mainpur kimberlite field (MKF) located 135 km SE of Raipur city, within the Bastar craton, Central India. This age is well supported by the available stratigraphic evidence and also by the recently published Nd isotopic data of the pipe. This study provides the first radiometric evidence for Palaeozoic kimberlite activity of Pan-African age in the Indian shield and recognizes a new and important diamondiferous kimberlite emplacement epoch in this part of the Gondwanaland. Our results also highlight the fact that kimberlite and lamproite emplacement in various Indian cratons occurred over a large time interval and was not essentially contemporaneous during Mesoproterozoic (similar to 1090Ma) as suggested by some earlier workers. If the Pan African age of the Kodomali kimberlite corresponds to a collision with the craton, then the amalgamation of the Indian craton into the Indo-Antarctic supercontinent indeed took place considerably much later than previously assumed.</t>
  </si>
  <si>
    <t>MIDC, Indian Bur Mines, Ore Dressing Div, EPMA Lab, Nagpur 440016, Maharashtra, India; Univ Manchester, Dept Earth Atmospher &amp; Environm Sci, Manchester M13 9PL, Lancs, England; Open Univ, CEPSAR, Dept Earth Sci, Milton Keynes MK7 6AA, Bucks, England; Nat Hist Museum, Dept Mineral, London SW7 5BD, England; Directorate Mines &amp; Geol, Raipur 492007, Chattisgarh, India</t>
  </si>
  <si>
    <t>University of Manchester; Open University - UK; Natural History Museum London</t>
  </si>
  <si>
    <t>Rao, NVC (corresponding author), MIDC, Indian Bur Mines, Ore Dressing Div, EPMA Lab, Hingan Rd, Nagpur 440016, Maharashtra, India.</t>
  </si>
  <si>
    <t>nvcr100@gmail.com; ray.burgess@manchester.ac.uk; M.Anand@open.ac.uk; datta_mainkar@yahoo.co.uk</t>
  </si>
  <si>
    <t>Burgess, Ray/A-5767-2009; Anand, Mahesh/E-9259-2013</t>
  </si>
  <si>
    <t>Burgess, Ray/0000-0001-7674-8718; Anand, Mahesh/0000-0003-4026-4476</t>
  </si>
  <si>
    <t>157MC</t>
  </si>
  <si>
    <t>WOS:000245722800008</t>
  </si>
  <si>
    <t>Sval'nov, VN; Dmitrenko, OB; Kazarina, GK; Isachenko, SM; Sarantsev, ES</t>
  </si>
  <si>
    <t>Sval'nov, V. N.; Dmitrenko, O. B.; Kazarina, G. Kh.; Isachenko, S. M.; Sarantsev, E. S.</t>
  </si>
  <si>
    <t>Quaternary sediments in the axial zone of the Brazil Basin</t>
  </si>
  <si>
    <t>LITHOLOGY AND MINERAL RESOURCES</t>
  </si>
  <si>
    <t>OCEAN; ZONATION; LAYER</t>
  </si>
  <si>
    <t>Lithological and micropaleontological studies of sediments were carried out along the meridional profile across the Brazil Basin. Based on nannoplankton and diatom assemblages, the sediments represented by oxidized miopelagic clays, differently reduced hemipelagic clays, and clayey-siliceous (Ethmodiscus) and calcareous (coceolith-foraminiferal) oozes are attributed to the Pleistocene-Holocene. Specific features of sedimentary material indicate its redeposition by Antarctic bottom waters, mudflows, slumps, and rockslides. It is shown that sedimentation in the Brazil Basin corresponds to the incomplete pelagic (miopelagic) type of oceanic lithogenesis transitional to the near-continental one.</t>
  </si>
  <si>
    <t>Russian Acad Sci, Shirshov Inst Oceanol, Moscow 117997, Russia</t>
  </si>
  <si>
    <t>Sval'nov, VN (corresponding author), Russian Acad Sci, Shirshov Inst Oceanol, Nakhimovskii 36, Moscow 117997, Russia.</t>
  </si>
  <si>
    <t>senidol@yandex.ru</t>
  </si>
  <si>
    <t>PLEIADES PUBLISHING INC</t>
  </si>
  <si>
    <t>MOSCOW</t>
  </si>
  <si>
    <t>PLEIADES PUBLISHING INC, MOSCOW, 00000, RUSSIA</t>
  </si>
  <si>
    <t>0024-4902</t>
  </si>
  <si>
    <t>1608-3229</t>
  </si>
  <si>
    <t>LITHOL MINER RESOUR+</t>
  </si>
  <si>
    <t>Lithol. Miner. Resour.</t>
  </si>
  <si>
    <t>10.1134/S0024490207020022</t>
  </si>
  <si>
    <t>Geochemistry &amp; Geophysics; Geology; Mineralogy</t>
  </si>
  <si>
    <t>146LI</t>
  </si>
  <si>
    <t>WOS:000244935500002</t>
  </si>
  <si>
    <t>Pinchuk, AI; Hopcroft, RR</t>
  </si>
  <si>
    <t>Pinchuk, Alexei I.; Hopcroft, Russell R.</t>
  </si>
  <si>
    <t>Seasonal variations in the growth rates of euphausiids (Thysanoessa inermis, T-spinifera, and Euphausia pacifica) from the northern Gulf of Alaska</t>
  </si>
  <si>
    <t>SUB-ARCTIC PACIFIC; WARM OCEAN YEARS; ANTARCTIC KRILL; POPULATION BIOLOGY; ECOLOGICAL INVESTIGATIONS; INTERANNUAL VARIATIONS; ZOOPLANKTON COMMUNITY; VERTICAL MIGRATION; MARINE ZOOPLANKTON; CALANUS-PACIFICUS</t>
  </si>
  <si>
    <t>The euphausiids Thysanoessa inermis (Kroyer 1846), Thysanoessa spinifera (Holmes 1900), and Euphausia pacifica (Hansen 1911) are key pelagic grazers and also important prey for many commercial fish species in the Gulf of Alaska (GOA). To understand the role of the euphausiids in material flows in this ecosystem their growth rates were examined using the instantaneous growth rate (IGR) technique on the northern GOA shelf from March through October in 2001-2004. The highest mean molting increments (over 5% of uropod length increase per molt) were observed during the phytoplankton bloom on the inner shelf in late spring for coastal T. inermis, and on the outer shelf in summer for T. spinifera and more oceanic E. pacifica, suggesting tight coupling with food availability. The molting rates were higher in summer and lower in spring, for all species and were strongly influenced by temperature. Mean inter-molt periods calculated from the molting rates, ranged from 11 days at 5 degrees C to 6 days at 8 degrees C, and were in agreement with those measured directly during long-term laboratory incubations. Growth rate estimates depended on euphausiid size, and were close to 0 in early spring, reaching maximum values in May (0.123 mm day(-1) or 0.023 day(-1) for T. inermis) and July (0.091 mm day(-1) or 0.031 day(-1) for T. spinifera). The growth rates for E. pacifica remained below 0.07 mm day(-1) (0.016 day(-1)) throughout the season. The relationship between T. inermis weight specific growth rate (adjusted to 5 degrees C) and ambient chlorophyll-a concentration fit a Michaelis-Menten curve (r(2) = 0.48) with food saturated growth rate of 0.032 day(-1) with half saturation occurring at 1.65 mg chl-a m(-3), but such relationships were not significant for T. spinifera or E. pacifica.</t>
  </si>
  <si>
    <t>Univ Alaska Fairbanks, Alaska SeaLife Ctr, Seward, AK USA; Univ Alaska Fairbanks, Inst Marine Sci, Fairbanks, AK 99775 USA</t>
  </si>
  <si>
    <t>University of Alaska System; University of Alaska Fairbanks; University of Alaska System; University of Alaska Fairbanks</t>
  </si>
  <si>
    <t>Pinchuk, AI (corresponding author), Univ Alaska Fairbanks, Alaska SeaLife Ctr, POB 730, Seward, AK USA.</t>
  </si>
  <si>
    <t>ftaip1@uaf.edu</t>
  </si>
  <si>
    <t>Pinchuk, Alexei/AAN-3281-2021; Hopcroft, Russell R/I-6286-2012</t>
  </si>
  <si>
    <t>10.1007/s00227-006-0483-1</t>
  </si>
  <si>
    <t>140EA</t>
  </si>
  <si>
    <t>WOS:000244485800023</t>
  </si>
  <si>
    <t>Gillibrand, EJV; Bagley, P; Jamieson, A; Herring, PJ; Partridge, JC; Collins, MA; Milne, R; Priede, IG</t>
  </si>
  <si>
    <t>Gillibrand, E. J. V.; Bagley, P.; Jamieson, A.; Herring, P. J.; Partridge, J. C.; Collins, M. A.; Milne, R.; Priede, I. G.</t>
  </si>
  <si>
    <t>Deep sea benthic bioluminescence at artificial food falls, 1,000-4,800 m depth, in the Porcupine Seabight and Abyssal Plain, North East Atlantic Ocean</t>
  </si>
  <si>
    <t>FUNCTIONAL-MORPHOLOGY; DEMERSAL FISHES; IN-SITU; COPEPODS; BEHAVIOR; PLANKTON; ANIMALS; LIGHT; TRAP; EYES</t>
  </si>
  <si>
    <t>Natural bioluminescence (that not mechanically stimulated by human intervention) produced by organisms on the seafloor of the northeast Atlantic ocean between 970 and 4,800 m depth was examined using an image intensifying (ISIT) camera mounted on an autonomous lander system. In the absence of bait little or no luminescence was observed but with bait present there was a significant inverse relationship with depth, Log(10) (1 + number of events h(-1)) = 1.7627-0.3235 depth (km) (r(2) = 0.8158, P &lt; 0.001) indicating an average of 2.6 events h(-1) at 4 km and 28 h(-1) at 1 km. But in an area at ca. 1 km depth near carbonate and coral mounds the mean was 133 events h(-1), much higher than predicted. In this bioluminescent hot spot 52-483 events h(-1) were observed including moving luminescent targets and release of patches of luminescent material into the water around the bait so that on occasions the whole area around the bait was illuminated persisting on a time scale of minutes. At abyssal depths, luminescence was much less than reported at similar depths in the tropical NE Atlantic off Cape Verde. The sources of luminescence could not be determined but in the most active areas were associated with presence of eels Synaphobranchus kaupii which although themselves not luminescent may have stimulated luminescence from prey organisms such as ostracods (Vargula norvegica).</t>
  </si>
  <si>
    <t>Univ Aberdeen, OceanLab, Aberdeen AB41 6AA, Scotland; Natl Oceanog Ctr, Southampton SO14 3ZH, Hants, England; Univ Bristol, Sch Biol Sci, Bristol BS8 1UG, Avon, England; British Antarctic Survey, Natl Environm Res Council, Cambridge CB3 0ET, England; Robert Gordon Univ, Aberdeen AB10 1FR, Scotland</t>
  </si>
  <si>
    <t>University of Aberdeen; NERC National Oceanography Centre; University of Bristol; UK Research &amp; Innovation (UKRI); Natural Environment Research Council (NERC); NERC British Antarctic Survey; Robert Gordon University</t>
  </si>
  <si>
    <t>Priede, IG (corresponding author), Univ Aberdeen, OceanLab, Main St, Aberdeen AB41 6AA, Scotland.</t>
  </si>
  <si>
    <t>i.g.priede@abdn.ac.uk</t>
  </si>
  <si>
    <t>, Martin/ABE-6728-2020; Collins, Martin A/J-8560-2017; Partridge, Julian/F-2097-2014</t>
  </si>
  <si>
    <t>, Martin/0000-0001-7132-8650; Partridge, Julian/0000-0003-3788-2900; Priede, Imants/0000-0002-5064-9751; Jamieson, Alan/0000-0001-9835-2909</t>
  </si>
  <si>
    <t>10.1007/s00227-006-0407-0</t>
  </si>
  <si>
    <t>139TG</t>
  </si>
  <si>
    <t>WOS:000244454900001</t>
  </si>
  <si>
    <t>Reiss, H; Wieking, G; Kröncke, I</t>
  </si>
  <si>
    <t>Reiss, Henning; Wieking, Gunther; Kroencke, Ingrid</t>
  </si>
  <si>
    <t>Microphytobenthos of the Dogger Bank:: a comparison between shallow and deep areas using phytopigment composition of the sediment</t>
  </si>
  <si>
    <t>BENTHIC MICROALGAL BIOMASS; ALGAL PIGMENT DIVERSITY; ANTARCTIC SEA-ICE; CENTRAL NORTH-SEA; MACROFAUNA COMMUNITIES; CONTINENTAL-SHELF; TROPHIC STRUCTURE; TIDAL FLAT; VARIABILITY; NUTRIENT</t>
  </si>
  <si>
    <t>The surface sediment characteristics related to benthic microalgae primary production were studied at the Dogger Bank, North Sea, in order to evaluate the potential role of microphytobenthos as a food source for the macrobenthic fauna. Twenty-one stations were sampled in July 2001 and May 2002, with water depth ranging from 16.3 to 68.5 m. High-performance liquid chromatography pigment analyses revealed that concentrations of chlorophyll a, chlorophyll c and fucoxanthin are mainly associated with benthic diatom flora at most parts of the Dogger Bank. High percentage of phytopigments (&gt; 50%) was firmly attached to sand grains at the stations shallower than 40 m water depth. The deeper stations were characterized by a phytopigment composition originating from pelagic phytoplankton settled on the sea floor. Qualitative microscopy showed that the benthic microflora on top of the Bank mainly consists of small diatoms (5-10 mu m), such as e.g., Diploneis spp., living attached to the sand grains. The results are discussed concerning possible implications for ecology and biogeochemistry of the Dogger Bank area.</t>
  </si>
  <si>
    <t>Senckenberg Inst, Dept Marine Res, D-26382 Wilhelmshaven, Germany</t>
  </si>
  <si>
    <t>Senckenberg Gesellschaft fur Naturforschung (SGN)</t>
  </si>
  <si>
    <t>Reiss, H (corresponding author), Senckenberg Inst, Dept Marine Res, Sudstrand 40, D-26382 Wilhelmshaven, Germany.</t>
  </si>
  <si>
    <t>henning.reiss@senckenberg.de</t>
  </si>
  <si>
    <t>Reiss, Henning/0000-0003-1393-0269</t>
  </si>
  <si>
    <t>10.1007/s00227-006-0423-0</t>
  </si>
  <si>
    <t>WOS:000244454900002</t>
  </si>
  <si>
    <t>Peck, LS; Powell, DK; Tyler, PA</t>
  </si>
  <si>
    <t>Peck, Lloyd S.; Powell, Dawn K.; Tyler, Paul A.</t>
  </si>
  <si>
    <t>Very slow development in two Antarctic bivalve molluscs, the infaunal clam Laternula elliptica and the scallop Adamussium colbecki</t>
  </si>
  <si>
    <t>KING-GEORGE ISLAND; BRACHIOPOD LIOTHYRELLA-UVA; GAMETOGENIC ECOLOGY; LARVAL DEVELOPMENT; MAXWELL BAY; WEDDELL SEA; TEMPERATURE; REPRODUCTION; METAMORPHOSIS; DEMERSAL</t>
  </si>
  <si>
    <t>Embryos of the large infaunal clam Laternula elliptica and the scallop Adamussium colbecki, from Antarctica, were cultured over an 18-month period. Their development rates were extremely slow, taking 240 and 177 h, respectively, to reach the trochophore stage. This is x4 to x18 slower than related clams and scallops from temperate latitudes. The relationship between temperature and development rate for bivalve molluscs shows the expected slowing with reduced temperature (Q(10) in the range 2-4) for temperate and tropical species. However, the slowing at polar latitudes is much stronger than at warmer waters, and all of the limited data for Antarctic species are well above the Arrhenius plot for the overall bivalve data, and the Q(10) value for Antarctic to cool temperate species is 11.8, well outside the expected range for biological systems. Either the relationships describing the effects of temperature on the kinetics of biological systems do not apply to Antarctic bivalve molluscs, or some other factor that cannot be compensated for becomes important at low temperature. In the laboratory, L. elliptica embryos stayed viable in very sticky egg capsules for up to 18 months without hatching. However, even the disturbance of removing eggs using a pipette ruptured some egg capsules allowing embryo release. Gametogenesis in Antarctic marine invertebrates is almost universally slowed compared to temperate species, with nearly all cases documented requiring more than 1 year to complete oogenesis. The only exception so far appears to be A. colbecki, which has a 1-year gametogenic cycle. The data here indicate that it has been unable to adapt embryonic development in a similar way, and we are not aware of any exceptions to the markedly slowed development at low temperature rule.</t>
  </si>
  <si>
    <t>British Antarctic Survey, Nat Environm Res Council, Cambridge CB3 0ET, England; Univ Southampton, Sch Ocean &amp; Earth Sci, Natl Oceanog Ctr, Southampton SO14 3ZH, Hants, England</t>
  </si>
  <si>
    <t>UK Research &amp; Innovation (UKRI); Natural Environment Research Council (NERC); NERC British Antarctic Survey; NERC National Oceanography Centre; University of Southampton</t>
  </si>
  <si>
    <t>Peck, LS (corresponding author), British Antarctic Survey, Nat Environm Res Council, High Cross Madingley Rd, Cambridge CB3 0ET, England.</t>
  </si>
  <si>
    <t>l.peck@bas.ac.uk</t>
  </si>
  <si>
    <t>10.1007/s00227-006-0428-8</t>
  </si>
  <si>
    <t>WOS:000244454900015</t>
  </si>
  <si>
    <t>Field, IC; Bradshaw, CJA; van den Hoff, J; Burton, HR; Hindell, MA</t>
  </si>
  <si>
    <t>Field, Iain C.; Bradshaw, Corey J. A.; van den Hoff, John; Burton, Harry R.; Hindell, Mark A.</t>
  </si>
  <si>
    <t>Age-related shifts in the diet composition of southern elephant seals expand overall foraging niche</t>
  </si>
  <si>
    <t>SQUID MOROTEUTHIS-INGENS; ACID SIGNATURE ANALYSIS; MIROUNGA-LEONINA; BODY-SIZE; ONTOGENIC CHANGES; POPULATION STATUS; CEPHALOPOD PREY; MARINE MAMMALS; JUVENILE; BEHAVIOR</t>
  </si>
  <si>
    <t>Southern elephant seals are important apex predators in a highly variable and unpredictable marine environment. In the presence of resource limitation, foraging behaviours evolve to reduce intra-specific competition increasing a species' overall probability of successful foraging. We examined the diet of 141 (aged 1-3 years) juvenile southern elephant seals to test the hypotheses that differences between ages, sexes and seasons in diet structure occur. We described prey species composition for common squid and fish species and the mean size of cephalopod prey items for these age groups. Three cephalopod species dominated the stomach samples, Alluroteuthis antarcticus, Histioteuthis eltaninae and Slosarczykovia circumantarcticus. We found age-related differences in both species composition and size of larger prey species that probably relate to ontogenetic changes in diving ability and haul-out behaviour and prey availability. These changes in foraging behaviour and diet are hypothesised to reduce intra-specific food competition concomitant with the increase in foraging niche of growing juveniles.</t>
  </si>
  <si>
    <t>Charles Darwin Univ, Sch Environm Res, Darwin, NT 0909, Australia; Univ Tasmania, Sch Zool, Antarctic Wildlife Res Unit, Hobart, Tas 7000, Australia; Australian Antarctic Div, Kingston, Tas 7050, Australia</t>
  </si>
  <si>
    <t>Charles Darwin University; University of Tasmania; Australian Antarctic Division</t>
  </si>
  <si>
    <t>Field, IC (corresponding author), Charles Darwin Univ, Sch Environm Res, Darwin, NT 0909, Australia.</t>
  </si>
  <si>
    <t>iain.field@cdu.edu.au</t>
  </si>
  <si>
    <t>Bradshaw, Corey J. A./A-1311-2008; Hindell, Mark A/K-1131-2013; Field, Iain C/D-3934-2009; Hindell, Mark A/C-8368-2013</t>
  </si>
  <si>
    <t>Bradshaw, Corey J. A./0000-0002-5328-7741; Hindell, Mark/0000-0002-7823-7185</t>
  </si>
  <si>
    <t>10.1007/s00227-006-0417-y</t>
  </si>
  <si>
    <t>WOS:000244454900036</t>
  </si>
  <si>
    <t>Connolly, HC; Zipfel, J; Folco, L; Smith, C; Jones, RH; Benedix, G; Righter, K; Yamaguchi, A; Aoudjehane, HC; Grossman, JN</t>
  </si>
  <si>
    <t>Connolly, Harold C.; Zipfel, Jutta; Folco, Luigi; Smith, Caroline; Jones, Rhian H.; Benedix, Gretchen; Righter, Kevin; Yamaguchi, Akira; Aoudjehane, Hasnaa Chennaoui; Grossman, Jeffrey N.</t>
  </si>
  <si>
    <t>The Meteoritical Bulletin, No. 91, 2007 March</t>
  </si>
  <si>
    <t>Kingsborough Community Coll, Dept Phys Sci, Brooklyn, NY 11235 USA; CUNY, Grad Sch, Brooklyn, NY 11210 USA; Amer Museum Nat Hist, Dept Earth &amp; Planetary Sci, New York, NY 10024 USA; Univ Arizona, Dept Planetary Sci, Lunar &amp; Planetary Lab, Tucson, AZ 85721 USA; Forsch Inst &amp; Nat Museum Senckenberg, Sekt Meteoriten Forsch, D-60325 Frankfurt, Germany; Museo Nazl Antartide, I-53100 Siena, Italy; Nat Hist Museum, Dept Mineral, London SW7 5BD, England; Univ New Mexico, Dept Earth &amp; Planetary Sci, Albuquerque, NM 87131 USA; NASA, Lyndon B Johnson Space Ctr, Code ST, Houston, TX 77058 USA; Natl Inst Polar Res, Antarctic Meteorite Res Ctr, Tokyo 1738515, Japan; Univ Hassan II Casablanca, Fac Sci, Dept Geol, Casablanca, Morocco; US Geol Survey, Reston, VA 20192 USA</t>
  </si>
  <si>
    <t>City University of New York (CUNY) System; City University of New York (CUNY) System; American Museum of Natural History (AMNH); University of Arizona; Senckenberg Gesellschaft fur Naturforschung (SGN); Natural History Museum London; University of New Mexico; National Aeronautics &amp; Space Administration (NASA); NASA Johnson Space Center; Research Organization of Information &amp; Systems (ROIS); National Institute of Polar Research (NIPR) - Japan; Hassan II University of Casablanca; United States Department of the Interior; United States Geological Survey</t>
  </si>
  <si>
    <t>Connolly, HC (corresponding author), Kingsborough Community Coll, Dept Phys Sci, 2001 Oriental Blvd, Brooklyn, NY 11235 USA.</t>
  </si>
  <si>
    <t>meteorite@kingsborough.edu</t>
  </si>
  <si>
    <t>Smith, Caroline/AAO-3652-2020; Chennaoui, Hasnaa/KGL-7333-2024; Yamaguchi, Akinobu/E-4265-2016; Jones, Rhian/ABI-6612-2020; Folco, Luigi/AAA-6351-2020; Benedix, Gretchen K/L-1953-2018; Folco, Luigi/AAB-8586-2021</t>
  </si>
  <si>
    <t>Smith, Caroline/0000-0001-7005-6470; Chennaoui, Hasnaa/0000-0001-8792-246X;</t>
  </si>
  <si>
    <t>10.1111/j.1945-5100.2007.tb00242.x</t>
  </si>
  <si>
    <t>150LX</t>
  </si>
  <si>
    <t>WOS:000245219400008</t>
  </si>
  <si>
    <t>Odling-Smee, Lucy</t>
  </si>
  <si>
    <t>Letting the light in on Antarctic ecosystems</t>
  </si>
  <si>
    <t>10.1038/446009a</t>
  </si>
  <si>
    <t>140RY</t>
  </si>
  <si>
    <t>WOS:000244525600007</t>
  </si>
  <si>
    <t>Zornoza, JD</t>
  </si>
  <si>
    <t>Zornoza, J. D.</t>
  </si>
  <si>
    <t>IceCube collaboration</t>
  </si>
  <si>
    <t>Results from the AMANDA neutrino telescope</t>
  </si>
  <si>
    <t>Cosmic Ray International Seminar on UHECR - Status and Perspectives</t>
  </si>
  <si>
    <t>MAY 29-JUN 02, 2006</t>
  </si>
  <si>
    <t>Catania, ITALY</t>
  </si>
  <si>
    <t>High-energy neutrinos are very promising probes for Astrophysics. Neutrinos interact very weakly, so they are unique sources of information at high energies. However, since they interact very rarely, very large detectors are needed to observe them. The detection principle in a neutrino telescope is based on the observation of the Cherenkov light produced by the muons generated in the interactions of muon neutrinos. Other signatures, such as cascades from electrons produced by electron neutrinos, are also identifiable. AMANDA-II, with 677 optical sensors, has demonstrated the feasibility of such a detector in the Antarctic ice and provided important Physics results. In this presentation we will review this scientific output, which includes the first sky map using neutrinos from the Northern Hemisphere, the measure of the atmospheric neutrino spectrum, the study of astrophysical objects like gamma-ray bursts, active galactic nuclei, soft-gamma repeaters or supernovae and limits on the neutralino flux from the Sun and the Earth.</t>
  </si>
  <si>
    <t>Univ Wisconsin, Madison, WI 53705 USA</t>
  </si>
  <si>
    <t>Zornoza, JD (corresponding author), Univ Wisconsin, 222 W Washington Ave, Madison, WI 53705 USA.</t>
  </si>
  <si>
    <t>Sánchez, Juan Antonio Aguilar/H-4467-2015; de Dios Zornoza, Juan/L-1604-2014</t>
  </si>
  <si>
    <t>de Dios Zornoza, Juan/0000-0002-1834-0690</t>
  </si>
  <si>
    <t>10.1016/j.nuclphysbps.2006.11.035</t>
  </si>
  <si>
    <t>148AV</t>
  </si>
  <si>
    <t>WOS:000245047800028</t>
  </si>
  <si>
    <t>Karsten, U; Karsten, U; Lembcke, S; Schumann, R</t>
  </si>
  <si>
    <t>Karsten, U.; Karsten, U.; Lembcke, S.; Schumann, R.</t>
  </si>
  <si>
    <t>The effects of ultraviolet radiation on photosynthetic performance, growth and sunscreen compounds in aeroterrestrial biofilm algae isolated from building facades</t>
  </si>
  <si>
    <t>mycosporine-like amino acids; radiation acclimation; sunscreen</t>
  </si>
  <si>
    <t>WAVELENGTH-DEPENDENT INDUCTION; UV-B RADIATION; AMINO-ACIDS; PHYTOPLANKTON ASSEMBLAGES; CHLOROPHYLL FLUORESCENCE; CARBOXYLASE-OXYGENASE; ANTARCTIC MACROALGAE; MARINE; IRRADIANCE; SCYTONEMIN</t>
  </si>
  <si>
    <t>The effects of artificial ultraviolet radiation [UVR; 8 W m(-2) ultraviolet-A (UVA), 0.4 W m(-2) ultraviolet-B (UVB)] on photosynthetic performance, growth and the capability to synthesise mycosporine-like amino acids (MAAs) was investigated in the aeroterrestrial green algae Stichococcus sp. and Chlorella luteoviridis forming biofilms on building facades, and compared with the responses of two green algae, from soil (Myrmecia incisa) and brackish water (Desmodesmus subspicatus). All species exhibited decreasing quantum efficiency (F-v/F-m) after 1-3 days exposure to UVR. After 8-12 days treatment, however, all aeroterrestrial isolates exhibited full recovery under UVA and UVA/B. In contrast, D. subspicatus showed only 80% recovery after treatment with UVB. While Stichococcus sp. and C. luteoviridis exhibited a broad tolerance in growth under all radiation conditions tested, M. incisa showed a significant decrease in growth rate after exposure to UVA and UVA/B. Similarly D. subspicatus grew with a reduced rate under UVA, but UVA/B led to full inhibition. Using HPLC, an UVabsorbing MAA (324 nm-MAA) was identified in Stichococcus sp. and C. luteoviridis. While M. incisa contained a specific 322 nm-MAA, D. subspicatus lacked any trace of such compounds. UV-exposure experiments indicated that all MAA-containing species are capable of synthesizing and accumulating these compounds, thus supporting their function as an UV-sunscreen. All data well explain the conspicuous ecological success of aeroterrestrial green algae in biofilms on facades. Biosynthesis and accumulation of MAAs under UVR seem to result in a reduced UV-sensitivity of growth and photosynthesis, which consequently may enhance survival in the environmentally harsh habitat.</t>
  </si>
  <si>
    <t>Univ Rostock, Inst Biol Sci, D-18051 Rostock, Germany</t>
  </si>
  <si>
    <t>University of Rostock</t>
  </si>
  <si>
    <t>Karsten, U (corresponding author), Univ Rostock, Inst Biol Sci, Albert Einstein Str 3, D-18051 Rostock, Germany.</t>
  </si>
  <si>
    <t>ulf.karsten@biologie.uni-rostock.de</t>
  </si>
  <si>
    <t>10.1007/s00425-006-0406-x</t>
  </si>
  <si>
    <t>137PG</t>
  </si>
  <si>
    <t>WOS:000244303900017</t>
  </si>
  <si>
    <t>Kim, S; Thurber, A</t>
  </si>
  <si>
    <t>Kim, Stacy; Thurber, Andrew</t>
  </si>
  <si>
    <t>Comparison of seastar (Asteroidea) fauna across island groups of the Scotia Arc</t>
  </si>
  <si>
    <t>Antarctic; circumpolar current; polar front; isolation; benthos; continental shelf</t>
  </si>
  <si>
    <t>ANTARCTIC POLAR FRONT; WEDDELL SEA ANTARCTICA; BENTHIC COMMUNITIES; SOUTHERN-OCEAN; BOUVET ISLAND; MEGA-EPIBENTHOS; SHELF; WATER; PATTERNS; BIODIVERSITY</t>
  </si>
  <si>
    <t>The Antarctic shelf fauna is isolated from other continental shelf faunas both physically by distance, and oceanographically by the Antarctic circumpolar current (ACC). To elucidate the relative importance of these two isolating mechanisms, we used the seastar fauna of the south-Atlantic sub-Antarctic islands to address the hypothesis that the ACC is dominant in controlling the distribution pattern of Antarctic fauna. We expected that seastar faunas from islands on the high latitude side of the ACC would show more similarities to each other than to faunas from islands on the low latitude side. The alternative isolation by distance model predicted that the island furthest from others would have the most unique fauna. For shelf-depth (&lt; 500 m) Asteroidea of the Scotia Arc region, assemblages were more similar between islands on each side of the ACC barrier than islands that were closer together, and this pattern was caused by differences in abundance of a few ubiquitous species.</t>
  </si>
  <si>
    <t>Moss Landing Marine Labs, Moss Landing, CA 95039 USA</t>
  </si>
  <si>
    <t>Kim, S (corresponding author), Moss Landing Marine Labs, 8272 Moss Landing Rd, Moss Landing, CA 95039 USA.</t>
  </si>
  <si>
    <t>10.1007/s00300-006-0198-2</t>
  </si>
  <si>
    <t>134PK</t>
  </si>
  <si>
    <t>WOS:000244095100003</t>
  </si>
  <si>
    <t>Lydersen, C; Martin, AR; Gjertz, I; Kovacs, KM</t>
  </si>
  <si>
    <t>Lydersen, Christian; Martin, Anthony R.; Gjertz, Ian; Kovacs, Kit M.</t>
  </si>
  <si>
    <t>Satellite tracking and diving behaviour of sub-adult narwhals (Monodon monoceros) in Svalbard, Norway</t>
  </si>
  <si>
    <t>BAFFIN-ISLAND; MOVEMENTS; GREENLAND; SUMMER; LEUCAS; OCEAN; DIET; BAY</t>
  </si>
  <si>
    <t>Three juvenile narwhals captured during August 1998 in the northeast of Svalbard, Norway, were equipped with satellite-relayed data loggers (SRDLs) that transmitted diving and swim-speed data, in addition to location, for up to 46 days. A total of 1,354 complete dive cycles were recorded. Most of the diving was shallow and of short duration. Maximum recorded dive depth was 546 m, maximum recorded dive duration was 24.8 min, and maximum recorded swim-speed was 4.7 ms(-1). Ascent speed, vertical ascent speed, descent speed and vertical descent speed were all significantly higher during deep dives (&gt; 200 m) than for shallow dives (&lt; 200 m). In addition both ascent and descent angles were much steeper for deep dives than during shallow dives. Most of the shallow diving seemed to be associated with travelling, with the animal shifting between various locations, while the deep diving (often to the bottom) for extended periods in some specific areas might have been associated with foraging. Even though the sample size in this study is small, the data are the first information available for movements and diving behaviour of narwhals near Svalbard.</t>
  </si>
  <si>
    <t>Norwegian Polar Res Inst, N-9296 Tromso, Norway; British Antarctic Survey, BioSci Div, Cambridge CB3 0ET, England; Norwegian Res Council, N-0131 Oslo, Norway</t>
  </si>
  <si>
    <t>Norwegian Polar Institute; UK Research &amp; Innovation (UKRI); Natural Environment Research Council (NERC); NERC British Antarctic Survey; Research Council of Norway</t>
  </si>
  <si>
    <t>Lydersen, C (corresponding author), Norwegian Polar Res Inst, N-9296 Tromso, Norway.</t>
  </si>
  <si>
    <t>Lydersen@npolar.no</t>
  </si>
  <si>
    <t>10.1007/s00300-006-0200-z</t>
  </si>
  <si>
    <t>WOS:000244095100005</t>
  </si>
  <si>
    <t>Near, TJ; Kendrick, BJ; Detrich, HW; Jones, CD</t>
  </si>
  <si>
    <t>Near, Thomas J.; Kendrick, B. Jacob; Detrich, H. William, III; Jones, Christopher D.</t>
  </si>
  <si>
    <t>Confirmation of neutral buoyancy in Aethotaxis mitopteryx DeWitt (Notothenioidei: Nototheniidae)</t>
  </si>
  <si>
    <t>ANTARCTIC FISHES; DEMERSAL FISH; PERCIFORMES; LIFE; SEA</t>
  </si>
  <si>
    <t>Aethotaxis mitopteryx is a nototheniid species with a circum-Antarctic distribution in the Southern Ocean. We present new locality records, buoyancy measurements, and morphometric data on five A. mitopteryx specimens collected from the Bransfield Strait. Our analyses demonstrate that A. mitopteryx is neutrally buoyant. This result lends additional support to the hypothesis that neutral buoyancy has a single evolutionary origin in Notothenioidei. Food items in these specimens consisted entirely of krill (Euphausia sp.), and all specimens were sexually immature. We present morphometric data from these five specimens and compare to the holotype specimen, which is the only A. mitopteryx specimen collected in the Ross Sea.</t>
  </si>
  <si>
    <t>Yale Univ, Dept Ecol &amp; Evolutionary Biol, New Haven, CT 06520 USA; Northeastern Univ, Dept Biol, Boston, MA 02115 USA; US Antarctic Marine Living Resources Program, SW Fisheries Sci Ctr, La Jolla, CA 92037 USA</t>
  </si>
  <si>
    <t>Yale University; Northeastern University; National Oceanic Atmospheric Admin (NOAA) - USA</t>
  </si>
  <si>
    <t>Near, TJ (corresponding author), Yale Univ, Dept Ecol &amp; Evolutionary Biol, New Haven, CT 06520 USA.</t>
  </si>
  <si>
    <t>thomas.near@yale.edu</t>
  </si>
  <si>
    <t>Near, Thomas J./K-1204-2012</t>
  </si>
  <si>
    <t>Near, Thomas J./0000-0002-7398-6670</t>
  </si>
  <si>
    <t>10.1007/s00300-006-0201-y</t>
  </si>
  <si>
    <t>WOS:000244095100006</t>
  </si>
  <si>
    <t>Vanella, FA; Fernández, DA; Romero, MC; Calvo, J</t>
  </si>
  <si>
    <t>Vanella, Fabian A.; Fernandez, Daniel A.; Romero, M. Carolina; Calvo, Jorge</t>
  </si>
  <si>
    <t>Changes in the fish fauna associated with a sub-Antarctic Macrocystis pyrifera kelp forest in response to canopy removal</t>
  </si>
  <si>
    <t>kelp forest; Macrocystis pyrifera; canopy removal; sub-Antarctic fish; notothenioids</t>
  </si>
  <si>
    <t>BEAGLE-CHANNEL; BODY-MASS; ASSEMBLAGES; TEMPERATURE; ARGENTINA; PISCES</t>
  </si>
  <si>
    <t>The fish fauna associated with a Macrocystis pyrifera forest and the effects of the canopy removal on this fauna were studied in the Beagle Channel, Tierra del Fuego. Seasonal changes and differences in the fish communities that inhabit the canopy and the holdfast were also studied. Two patches of kelp forest separated by 200 m were selected. In one, the canopy was removed periodically while the other was used as a control. Samples were collected seasonally, from autumn 1999 to 2001. Fish fauna in the water column was sampled using trammel nets and holdfast fish fauna was sampled by removing the complete holdfast. Different assemblages of fish species were captured in the water column (surface and bottom) and in the holdfast. In the former there were mainly pelagic and benthopelagic species and the latter predominantly demersal species. The principal effect of the canopy removal was a drop in the abundance (and total weight) of Paranotothenia magellanica (doradito), the species with the strongest relationship with the canopy, principally at the surface of the treated patch probably due to a reduction in the availability of refuges. A high degree of seasonality was observed for fish species' total weight, abundance and diversity, with higher values in summer and autumn. Taking into account our data and available data on kelp growth in the same locality, we suggest of cutting the kelp forest (preferably those farther away from the coast) once a year in winter or early spring, in order to minimize impact on the fish community.</t>
  </si>
  <si>
    <t>CADIC, Ushuania, Tierra del Fueg, Argentina</t>
  </si>
  <si>
    <t>Vanella, FA (corresponding author), CADIC, Bernardo Houssay 200,V9410CAB, Ushuania, Tierra del Fueg, Argentina.</t>
  </si>
  <si>
    <t>fvanella@tierradelfuego.org.ar; dfernandez.ush@gmail.com; carofrau@tierradelfuego.org.ar; jcem@arnet.com.ar</t>
  </si>
  <si>
    <t>Fernandez, Daniel Alfredo/0000-0002-3367-4138</t>
  </si>
  <si>
    <t>10.1007/s00300-006-0202-x</t>
  </si>
  <si>
    <t>WOS:000244095100007</t>
  </si>
  <si>
    <t>Chilvers, BL; Robertson, BC; Wilkinson, IS; Duignan, PJ</t>
  </si>
  <si>
    <t>Chilvers, B. Louise; Robertson, Bruce C.; Wilkinson, Ian S.; Duignan, Padraig J.</t>
  </si>
  <si>
    <t>Growth and survival of New Zealand sea lions, Phocarctos hookeri:: birth to 3 months</t>
  </si>
  <si>
    <t>ANTARCTIC FUR-SEAL; DIFFERENTIAL MATERNAL INVESTMENT; SOUTHERN ELEPHANT SEALS; ARCTOCEPHALUS-GAZELLA; ATTENDANCE PATTERNS; SEXUAL-DIMORPHISM; MILK CONSUMPTION; MIROUNGA-LEONINA; MALE HARASSMENT; EARLY MORTALITY</t>
  </si>
  <si>
    <t>Offspring birth mass and growth rate represent important life history traits, which influence many vital population and individual characteristics, while offspring survival is a key factor in variation in female reproductive success. For a threatened population of pinnipeds, such as New Zealand sea lions, Phocarctos hookeri, (Grey, 1844, NZ sea lions), understanding individual life history parameters and population dynamics is vital for their management and conservation. This is the first study of the behaviour of females during parturition, pup birth mass and growth, and pre-weaning survival of NZ sea lions, Enderby Island, Auckland Islands during austral summer breeding seasons, 2001/2002 to 2003/2004. Pregnant females arrived ashore 2.1 +/- 0.16 days prior to giving birth. After parturition, mothers suckled their pups for 8.6 +/- 0.16 days before leaving on their first foraging trip. Male pups were born significantly heavier than female (males 10.6 +/- 1.4 kg, females 9.7 +/- 0.9 kg). Pups lost on average 48 +/- 0.14 g per day mass during the early postpartum period (between birth and mothers first foraging trip). Pup mortality did not vary by pup sex, birth mass, date of birth or any maternal characteristics however it varied significantly between years due to a bacterial infection epidemic (Pup mortality at 60 days: 2001 32%; 2002 21%; 2003 12%). The absolute growth rate per day for pups was 151 g/day over all years. Pup growth rate measured as the slope of linear line fitted to pup mass by age was consistently higher for pups with heavier birth mass, male pups and during the 2002 season. High offspring mortality and slow growth rates coupled with maternal foraging behaviour at their physiological limits may reflect a threatened species which has limited ability for population growth in an environment which is at the extreme of their historical range and impacted upon by fisheries.</t>
  </si>
  <si>
    <t>Dept Conservat, Marine Conservat Unit, Wellington, New Zealand; Univ Canterbury, Sch Biol Sci, Christchurch 1, New Zealand; Dept Environm &amp; Conservat, Coffs Harbour, NSW 2450, Australia; Massey Univ, New Zealand Wildlife Hlth Ctr, IVABS, Palmerston North, New Zealand</t>
  </si>
  <si>
    <t>University of Canterbury; Massey University</t>
  </si>
  <si>
    <t>Chilvers, BL (corresponding author), Dept Conservat, Marine Conservat Unit, POB 10-420, Wellington, New Zealand.</t>
  </si>
  <si>
    <t>lchilvers@doc.govt.nz</t>
  </si>
  <si>
    <t>Chilvers, B. Louise/AAV-1965-2021; Wilkinson, Ian/F-2291-2010; Wilkinson, Ian S/ABG-2772-2020</t>
  </si>
  <si>
    <t>Chilvers, B. Louise/0000-0002-7657-4217;</t>
  </si>
  <si>
    <t>10.1007/s00300-006-0203-9</t>
  </si>
  <si>
    <t>WOS:000244095100008</t>
  </si>
  <si>
    <t>Mortimer, E; van Vuuren, BJ</t>
  </si>
  <si>
    <t>Mortimer, Elizabeth; Jansen van Vuuren, Bettine</t>
  </si>
  <si>
    <t>Phylogeography of Eupodes minutus (Acari: Prostigmata) on sub-Antarctic Marion Island reflects the impact of historical events</t>
  </si>
  <si>
    <t>Southern Ocean; COI; mites; population structure</t>
  </si>
  <si>
    <t>POPULATION-GROWTH; VICTORIA LAND; COLLEMBOLA; SPRINGTAIL; RANGE</t>
  </si>
  <si>
    <t>Marion Island, situated similar to 2,300 km south-east of Cape Town, South Africa, has experienced multiple volcanic and glaciation events during its history. To better understand the impact of these events on species' genetic structure, we determined the phylogeographic population structure of the mite, Eupodes minutus. We included 57 individuals sampled from 11 localities across the island. Our analyses based on the mitochondrial COI gene suggest a population expansion as would typically be expected when species recover after being confined to refugia. Standard phi (Phi) statistics and a spatial analysis of molecular variance (SAMOVA) identified unique populations on the south-western and south-eastern sides of the island. We argue that multiple volcanic events on the southern side of Marion, in combination with glaciations, effectively isolated these populations from each other.</t>
  </si>
  <si>
    <t>Univ Stellenbosch, DST NRF Ctr Excellence Invas Biol, Dept Bot &amp; Zool, ZA-7602 Matieland, South Africa; Univ Stellenbosch, Evolutionary Genom Grp, Dept Bot &amp; Zool, ZA-7602 Matieland, South Africa</t>
  </si>
  <si>
    <t>Stellenbosch University; National Research Foundation - South Africa; Stellenbosch University</t>
  </si>
  <si>
    <t>van Vuuren, BJ (corresponding author), Univ Stellenbosch, DST NRF Ctr Excellence Invas Biol, Dept Bot &amp; Zool, Private Bag X1, ZA-7602 Matieland, South Africa.</t>
  </si>
  <si>
    <t>bjvv@sun.ac.za</t>
  </si>
  <si>
    <t>Jansen van Vuuren, Bettine/E-6227-2013</t>
  </si>
  <si>
    <t>Jansen van Vuuren, Bettine/0000-0002-5334-5358</t>
  </si>
  <si>
    <t>10.1007/s00300-006-0205-7</t>
  </si>
  <si>
    <t>WOS:000244095100009</t>
  </si>
  <si>
    <t>Pasternak, AF; Schnack-Schiel, SB</t>
  </si>
  <si>
    <t>Pasternak, Anna F.; Schnack-Schiel, Sigrid B.</t>
  </si>
  <si>
    <t>Feeding of Ctenocalanus citer in the eastern Weddell Sea:: low in summer and spring, high in autumn and winter</t>
  </si>
  <si>
    <t>Antarctic copepods; seasonal feeding activity; diet; life cycle; vertical distribution; phytoplankton bloom</t>
  </si>
  <si>
    <t>DOMINANT ANTARCTIC COPEPODS; ZOOPLANKTON COMMUNITY; FOOD CONCENTRATION; PATTERNS; SIZE; WEB</t>
  </si>
  <si>
    <t>The feeding activity and diet of the small dominant Antarctic copepod, Ctenocalanus citer, were studied throughout the seasonal cycle from samples taken during several Polarstern cruises to the eastern Weddell Sea. Two indices of feeding activity were used, percentage of copepods with food inside and length of the faecal pellets. C. citer guts contained food throughout the year thus confirming the year-round activity of this species without diapause. Both indices demonstrated a seasonal pattern of foraging, unusual for a predominantly herbivorous copepod: high-feeding activity in autumn-winter and low in spring-summer. Our results suggest that feeding is at least partially decoupled from the phytoplankton bloom. Diet of C. citer was assessed by analyzing the gut contents. The bulk of the recognizable food in the guts of all copepodite stages consisted of small-sized phytoplankton, and no evidence of switching to a more carnivorous diet at low-phytoplankton concentrations was obtained. Usage of ice-associated algae was proposed to explain high winter-feeding activity. This knowledge of seasonal feeding patterns fills in a gap in our understanding of the life-cycle strategy of C. citer.</t>
  </si>
  <si>
    <t>Russian Acad Sci, PP Shirshov Oceanol Inst, Moscow 117997, Russia; Alfred Wegener Inst Polar &amp; Marine Res, D-27656 Bremershaven, Germany</t>
  </si>
  <si>
    <t>Russian Academy of Sciences; Shirshov Institute of Oceanology; Helmholtz Association; Alfred Wegener Institute, Helmholtz Centre for Polar &amp; Marine Research</t>
  </si>
  <si>
    <t>Pasternak, AF (corresponding author), Russian Acad Sci, PP Shirshov Oceanol Inst, 36 Nakhimovskii Prospect, Moscow 117997, Russia.</t>
  </si>
  <si>
    <t>avamik@online.ru</t>
  </si>
  <si>
    <t>Pasternak, Anna/E-6121-2014</t>
  </si>
  <si>
    <t>Pasternak, Anna/0000-0003-0317-5861</t>
  </si>
  <si>
    <t>10.1007/s00300-006-0208-4</t>
  </si>
  <si>
    <t>WOS:000244095100012</t>
  </si>
  <si>
    <t>van Aarde, RJ; Jackson, TP</t>
  </si>
  <si>
    <t>van Aarde, Rudi J.; Jackson, Tim P.</t>
  </si>
  <si>
    <t>Food, reproduction and survival in mice on sub-Antarctic Marion Island</t>
  </si>
  <si>
    <t>FERAL HOUSE MICE; CLIMATE-CHANGE; MUS-MUSCULUS; SOUTH-GEORGIA; IMPACT; ECOLOGY; BIOLOGY; DIET; TEMPERATURE; DOMESTICUS</t>
  </si>
  <si>
    <t>The house mouse Mus musculus is the most widespread introduced mammal on sub-Antarctic islands, where it may alter ecosystem function. Ambient temperature and food availability affect reproduction and survival for mice. It is unclear how these factors influence mouse demography in the sub-Antarctic, and we tested the influence of food experimentally on Marion Island. Using food supplementation trials, we did not alter reproduction or overwinter survival. Alternatively, we argue ongoing climatic change on Marion could increase mouse densities through summer, while increased winter survival may reduce population growth rates the following summer through density dependence. The overall influence of these apposing forces depends on their relative strengths but may limit changes in mouse numbers with ongoing changes in climate in the sub-Antarctic.</t>
  </si>
  <si>
    <t>Univ Pretoria, Dept Zool &amp; Entomol, Conservat Ecol Res Unit, ZA-0028 Hatfield, South Africa</t>
  </si>
  <si>
    <t>van Aarde, RJ (corresponding author), Univ Pretoria, Dept Zool &amp; Entomol, Conservat Ecol Res Unit, ZA-0028 Hatfield, South Africa.</t>
  </si>
  <si>
    <t>rjvaarde@zoology.up.ac.za</t>
  </si>
  <si>
    <t>10.1007/s00300-006-0209-3</t>
  </si>
  <si>
    <t>WOS:000244095100013</t>
  </si>
  <si>
    <t>Held, C; Leese, F</t>
  </si>
  <si>
    <t>Held, Christoph; Leese, Florian</t>
  </si>
  <si>
    <t>The utility of fast evolving molecular markers for studying speciation in the Antarctic benthos</t>
  </si>
  <si>
    <t>Antarctic benthos; population genetics; phylogeography; microsatellites; speciation</t>
  </si>
  <si>
    <t>SEROLID ISOPODS CRUSTACEA; POPULATION-STRUCTURE; GENETIC DIFFERENTIATION; MICROSATELLITE LOCI; ASELLOTA CRUSTACEA; MITOCHONDRIAL-DNA; OCEAN CURRENTS; POLAR FRONT; DEEP-SEA; EVOLUTION</t>
  </si>
  <si>
    <t>The Southern Ocean is surprisingly rich in species that coexist in one of the most extreme environments on Earth yet the processes leading to speciation in this ecosystem are not well understood. To remedy this, tools that measure the genetic connectedness within a species are needed. Although useful for phylogenetic purposes, the readily available mitochondrial markers (e.g. 16S, COI) suffer from numerous shortcomings for population genetics. Therefore, molecular markers are needed that are sufficiently variable, unlinked, biparentally inherited, and distributed over the whole genome. We argue that microsatellites are suitable markers that have not been widely used in exploratory studies due to their difficult initial set-up. Working with the Ceratoserolis trilobitoides species complex (Isopoda), we demonstrate that using a novel protocol many microsatellites can be identified quickly. An increased availability of these highly sensitive markers will be useful for studies addressing the origin of species in the Southern Ocean and their response to future climate change.</t>
  </si>
  <si>
    <t>Alfred Wegener Inst Polar &amp; Marine Res, D-27515 Bremershaven, Germany; Ruhr Univ Bochum, Lehrstuhl Spezielle Zool, D-44801 Bochum, Germany</t>
  </si>
  <si>
    <t>Helmholtz Association; Alfred Wegener Institute, Helmholtz Centre for Polar &amp; Marine Research; Ruhr University Bochum</t>
  </si>
  <si>
    <t>Held, C (corresponding author), Alfred Wegener Inst Polar &amp; Marine Res, Postfach 12 0161, D-27515 Bremershaven, Germany.</t>
  </si>
  <si>
    <t>cheld@awi-bremerhaven.de; fleese@awi-bremerhaven.de</t>
  </si>
  <si>
    <t>Leese, Florian/D-4277-2012</t>
  </si>
  <si>
    <t>Leese, Florian/0000-0002-5465-913X; Held, Christoph/0000-0001-8854-3234</t>
  </si>
  <si>
    <t>10.1007/s00300-006-0210-x</t>
  </si>
  <si>
    <t>WOS:000244095100014</t>
  </si>
  <si>
    <t>Park, H; Ahn, IY; Choi, HJ; Pyo, SH; Lee, HE</t>
  </si>
  <si>
    <t>Park, Hyun; Ahn, In-Young; Choi, Heeseon J.; Pyo, Sei Hong; Lee, Hye Eun</t>
  </si>
  <si>
    <t>Cloning, expression and characterization of metallothionein from the Antarctic clam Laternula elliptica</t>
  </si>
  <si>
    <t>PROTEIN EXPRESSION AND PURIFICATION</t>
  </si>
  <si>
    <t>Antarctic clam; cadmium; Laternula elliptica; metallothionein; metal-binding ability</t>
  </si>
  <si>
    <t>MUSSEL MYTILUS-EDULIS; HEPATIC METALLOTHIONEIN; OXIDATIVE STRESS; ALPHA-DOMAIN; PURIFICATION; BINDING; DIFFERENCE; ALIGNMENT; SEQUENCE; CADMIUM</t>
  </si>
  <si>
    <t>The genes for two apparent subtypes of metallothionein (MT) isoform were isolated from the Antarctic clam Laternula elliptica. Determination of the nucleotide sequence showed that the gene consists of 222 bp that code a 73-amino acid protein. The comparison between MT cDNA sequences of L. elliptica and other bivalves showed strong homologies on positions of cysteine residues, which are important for their metal binding abilities. The gene for the NIT was inserted into a pET vector and overexpressed as a carboxyl terminal extension of glutathionein-S-transferase (GST) in Escherichia coli. After the GST fusion proteins had been purified by glutathione-Sepharose affinity chromatography column and digested with enterokinase, the NIT was purified with gel filtration and analyzed for its biochemical properties. Recombinant MTs were reconstituted with Cd, Cu, and Zn, and kinetic studies of the reactions with electrophilic disulphide, DTNB, were investigated to explore their metal binding ability. It is revealed that the Cd-MT and Zn-MT react with DTNB biphasically, and that Zn-MT reacts with DTNB more rapidly, and with a significantly greater pseudo-first-order rate constant. Cu-MT reacts monophasically and releases metal slowly from MT. (c) 2006 Elsevier Inc. All rights reserved.</t>
  </si>
  <si>
    <t>Korea Polar Res Inst, Korea Ocean Res &amp; Dev Inst, Ansan 426744, South Korea</t>
  </si>
  <si>
    <t>Korea Polar Research Institute (KOPRI); Korea Institute of Ocean Science &amp; Technology (KIOST)</t>
  </si>
  <si>
    <t>Park, H (corresponding author), Korea Polar Res Inst, Korea Ocean Res &amp; Dev Inst, Sa 2 Dong 1270, Ansan 426744, South Korea.</t>
  </si>
  <si>
    <t>hpark@kopri.re.kr</t>
  </si>
  <si>
    <t>Lee, Hye Eun/AAE-6317-2022</t>
  </si>
  <si>
    <t>Lee, Hye Eun/0000-0003-4648-5042; Park, Hyun/0000-0002-8055-2010</t>
  </si>
  <si>
    <t>ACADEMIC PRESS INC ELSEVIER SCIENCE</t>
  </si>
  <si>
    <t>SAN DIEGO</t>
  </si>
  <si>
    <t>525 B ST, STE 1900, SAN DIEGO, CA 92101-4495 USA</t>
  </si>
  <si>
    <t>1046-5928</t>
  </si>
  <si>
    <t>1096-0279</t>
  </si>
  <si>
    <t>PROTEIN EXPRES PURIF</t>
  </si>
  <si>
    <t>Protein Expr. Purif.</t>
  </si>
  <si>
    <t>10.1016/j.pep.2006.08.008</t>
  </si>
  <si>
    <t>Biochemical Research Methods; Biochemistry &amp; Molecular Biology; Biotechnology &amp; Applied Microbiology</t>
  </si>
  <si>
    <t>Biochemistry &amp; Molecular Biology; Biotechnology &amp; Applied Microbiology</t>
  </si>
  <si>
    <t>144CM</t>
  </si>
  <si>
    <t>WOS:000244772900011</t>
  </si>
  <si>
    <t>Kleman, J; Glasser, NF</t>
  </si>
  <si>
    <t>Kleman, Johan; Glasser, Neil F.</t>
  </si>
  <si>
    <t>The subglacial thermal organisation (STO) of ice sheets</t>
  </si>
  <si>
    <t>EXPOSURE AGES; FENNOSCANDIAN GLACIATION; CAIRNGORM MOUNTAINS; RELICT LANDSCAPE; STREAM-B; FLOW; GLACIERS; BENEATH; ERRATICS; DYNAMICS</t>
  </si>
  <si>
    <t>This paper examines ice-sheet wide variations in subglacial thermal regime and ice dynamics using the landform record exposed on the beds of former mid-latitude ice sheets (the Laurentide, Cordilleran, Fennoscandian and British-Irish Ice Sheets). We compare the landform patterns beneath these former ice sheets to the flow organisation beneath parts of the contemporary Antarctic Ice Sheet inferred from RADARSAT-1 Antarctic Mapping Project (RAMP) data. The evidence preserved in the landform record and observed on contemporary ice masses can be grouped into four major ice-dynamical components that collectively define the subglacial thermal organisation (STO) of ice sheets. These ice-dynamical components are frozen-bed patches, ice streams, ice-stream tributaries and lateral shear zones. Frozen-bed patches appear at a wide range of spatial scales, spanning four orders of magnitude. In some areas, frozen-bed zones comprise large proportions of the bed (e.g. near the ice divide in continental areas), whilst in other areas they constitute isolated islands in areas dominated by thawed-bed conditions. fee streams, narrow zones of fast flow in ice sheets that are otherwise dominated by slow sheet flow, are also common features of Quaternary ice sheets. Tributaries to ice streams flow at velocities intermediate between full ice-stream and sheet flow, and may divert ice drainage from one primary ice-stream corridor to an adjacent one. Sharp lateral boundaries between landforms indicate sliding and non-sliding conditions, respectively. These lateral boundaries represent important discontinuities in the glacial landscape and mark the location of shear zones between thawed-bed ice streams and intervening frozen-bed areas. We use the landform evidence in the area around Great Bear Lake, Canada to trace the evolution of an ice-stream web through time, demonstrating that frozen-bed patches are integral components of this complex system. We conclude that frozen-bed patches Lire important for the stability of ice sheets because they laterally constrain and isolate peripheral drainage basins and their ice streams. (c) 2007 Elsevier Ltd. All rights reserved.</t>
  </si>
  <si>
    <t>Stockholm Univ, Dept Phys Geog &amp; Quaternary Geol, S-10691 Stockholm, Sweden; Univ Wales, Inst Geog &amp; Earth Sci, Ctr Glaciol, Aberystwyth SY23 3DB, Dyfed, Wales</t>
  </si>
  <si>
    <t>Stockholm University; Aberystwyth University</t>
  </si>
  <si>
    <t>Kleman, J (corresponding author), Stockholm Univ, Dept Phys Geog &amp; Quaternary Geol, S-10691 Stockholm, Sweden.</t>
  </si>
  <si>
    <t>johan.kleman@natgeo.su.se</t>
  </si>
  <si>
    <t>Glasser, Neil F/C-1971-2012</t>
  </si>
  <si>
    <t>Glasser, Neil/0000-0002-8245-2670</t>
  </si>
  <si>
    <t>5-6</t>
  </si>
  <si>
    <t>10.1016/j.quascirev.2006.12.010</t>
  </si>
  <si>
    <t>160SC</t>
  </si>
  <si>
    <t>WOS:000245961600003</t>
  </si>
  <si>
    <t>Hambrey, MJ; Glasser, NF; McKelvey, BC; Sugden, DE; Fink, D</t>
  </si>
  <si>
    <t>Hambrey, M. J.; Glasser, N. F.; McKelvey, B. C.; Sugden, D. E.; Fink, D.</t>
  </si>
  <si>
    <t>Cenozoic landscape evolution of an East Antarctic oasis (Radok Lake area, northern Prince Charles Mountains), and its implications for the glacial and climatic history of Antarctica</t>
  </si>
  <si>
    <t>SOUTHERN VICTORIA LAND; FLAGSTONE BENCH FORMATION; BAINMEDART COAL MEASURES; ICE-SHEET DYNAMICS; PRYDZ BAY-REGION; SIRIUS GROUP; DRY-VALLEYS; TRANSANTARCTIC MOUNTAINS; PAGODROMA-GROUP; AMERY OASIS</t>
  </si>
  <si>
    <t>Ice-free areas Antarctica reveal a multi-million year history of landscape evolution, but most attention up to now has focused on the Transantarctic Mountains. The Amery Oasis in the northern Prince Charles Mountains borders the Lambert Glacier-Amery Ice Shelf System that drains 1 million km(2) of the East Antarctic Ice Sheet, and therefore provides a record of fluctuations of both local and regional ice since the ice sheet first formed in early Oligocene time. This glacial record has been deciphered by (i) geomorphological mapping from aerial photographs and on the ground, (ii) documenting the relationship between thick well-dated, uplifted glaciomarine strata and the underlying palaeolandscape, (iii) examining surficial sediment facies, and (iv) surface-exposure dating using Be-10 and Al-26. The SE Amery Oasis records at least 10 million years of landscape evolution beginning with a pre-late Miocene phase of glacial erosion, followed by deposition of glaciomarine strata of the Battye Glacier Formation (Pagodroma Group) in late Miocene time. A wet-based ice sheet next expanded over the SE Amery Oasis, following which deposition of the glaciomarine Pliocene Bardin Bluffs Formation (Pagodroma Group) took place. Both formations were uplifted;, by at least 500 and 200m, respectively. Their tops are characterised by geomorphological surfaces upon which intensive periglacial activity took place. Higher-level bedrock areas were subjected to deep weathering and torformation. Early Pleistocene time was characterised by expansion of a cold-based ice sheet across the whole area, but it left little more than patches of sandy gravel and erratic blocks. Late Pleistocene expansion of local ice (the Battye Glacier) saw deposition of moraine-mound complexes on low ground around Radok Lake and ice-dammed lake phenomena. Subglacial drainage of the lake escaped to the east exhuming the sediment-filled gorges. Holocene landscape modification has been relatively superficial. Overall, the landscape of the Amery Oasis evolved primarily under the influence of wet-based (probably polythermal) glaciers in Miocene and Pliocene times, whereas the Quaternary Period was characterised mainly by cold-based glaciers that had comparatively little impact on the landscape. (c) 2006 Elsevier Ltd. All rights reserved.</t>
  </si>
  <si>
    <t>Univ Wales, Inst Geog &amp; Earth Sci, Ctr Glaciol, Aberystwyth SY23 3DB, Dyfed, Wales; Univ New England, Div Earth Sci, Armidale, NSW 2351, Australia; Univ Edinburgh, Sch Geosci, Inst Geog, Edinburgh EH8 9XP, Midlothian, Scotland; Australian Nucl Sci &amp; Technol Org, Inst Environm Res, Menai, NSW 2234, Australia</t>
  </si>
  <si>
    <t>Aberystwyth University; University of New England; University of Edinburgh; Australian Nuclear Science &amp; Technology Organisation</t>
  </si>
  <si>
    <t>Hambrey, MJ (corresponding author), Univ Wales, Inst Geog &amp; Earth Sci, Ctr Glaciol, Aberystwyth SY23 3DB, Dyfed, Wales.</t>
  </si>
  <si>
    <t>mjh@aber.ac.uk</t>
  </si>
  <si>
    <t>fink, David/A-9518-2012; Glasser, Neil F/C-1971-2012</t>
  </si>
  <si>
    <t>fink, David/0000-0001-7156-4602; Glasser, Neil/0000-0002-8245-2670</t>
  </si>
  <si>
    <t>10.1016/j.quascirev.2006.11.014</t>
  </si>
  <si>
    <t>WOS:000245961600004</t>
  </si>
  <si>
    <t>Bentley, MJ; Evans, DJA; Fogwill, CJ; Hansom, JD; Sugden, DE; Kubik, PW</t>
  </si>
  <si>
    <t>Bentley, M. J.; Evans, D. J. A.; Fogwill, C. J.; Hansom, J. D.; Sugden, D. E.; Kubik, P. W.</t>
  </si>
  <si>
    <t>Glacial geomorphology and chronology of deglaciation, South Georgia, sub-Antarctic</t>
  </si>
  <si>
    <t>ENVIRONMENTAL-CHANGE; PRODUCTION-RATES; SOIL DEVELOPMENT; CENTRAL STRAIT; CLIMATE-CHANGE; MARINE RECORD; BAHIA INUTIL; ICE; ISLAND; FLUCTUATIONS</t>
  </si>
  <si>
    <t>We mapped and dated the glacial geomorphology of north-east South Georgia, in the maritime sub-Antarctic. The aim was to examine the timing of deglaciation of the island in the context of inter-hemi spheric phasing of climate change. Former glacier limits are restricted to the inner fjords, and our detailed mapping of them has demonstrated a consistent geomorphological pattern that is similar across several different glacier types and sizes. The pattern comprises three suites of moraines (categories a-c), not all of which are represented at every site because the outer suite is often overridden by younger suites. Category a is an outer wide, low amplitude moraine ridge, category b comprises 2-4 sharp-crested, bouldery moraines that are often located close to or even over-riding a, and category c is a series of lower amplitude moraines with overprinted streamlined landforms such as flutings. Analysis of in situ cosmogenic Be-10 in boulders on these moraines has allowed us to determine a deglacial chronology for the older two moraine groups. The age of the inner (youngest) group has been estimated from soil development. The cosmogenic nuclide ages show that the outermost moraine was deposited ca 12.2 +/- 1.5 ka BP, but that a subsequent readvance in the mid-Holocene (ca 3.6 +/- 1.1 ka BP) reached and, in places, over-rode this earlier moraine. This latter advance coincides with the Mid Holocene Hypsithermal. A final Late Holocene advance reached closely similar limits to the previous two fluctuations and is estimated from soil data to have an age of ca 1.1 ka BP. We suggest that the close concordance of Late-Glacial and interglacial limits (in this case associated with warming) can be explained by a change in dominant forcing. During glacials, extensive sea-ice limits precipitation availability and so glaciers are restricted to the inner fjords. During interglacials precipitation is not limited in the same way by sea-ice cover and so during warming precipitation increases and tidewater glaciers on the island have responded by advancing. This study emphasises the importance of a clear understanding of geomorphology in order to interpret chronological information. (c) 2006 Elsevier Ltd. All rights reserved.</t>
  </si>
  <si>
    <t>Univ Durham, Dept Geog, Durham DH1 3LE, England; Sch Geosci, Inst Geog, Edinburgh EH8 9XP, Midlothian, Scotland; Univ Glasgow, Dept Geog &amp; Earth Sci, Glasgow G12 8QQ, Lanark, Scotland; ETH Honggerberg, Inst Particle Phys, Paul Scherrer Inst, CH-8093 Zurich, Switzerland</t>
  </si>
  <si>
    <t>Durham University; University of Edinburgh; University of Glasgow; Swiss Federal Institutes of Technology Domain; Paul Scherrer Institute; ETH Zurich</t>
  </si>
  <si>
    <t>Bentley, MJ (corresponding author), Univ Durham, Dept Geog, South Rd, Durham DH1 3LE, England.</t>
  </si>
  <si>
    <t>m.j.bentley@durham.ac.uk; d.j.evans@durham.ac.uk; chris.fogwill@ed.ac.uk; jhansom@ges.gla.ac.uk; david.sugden@ed.ac.uk; kubik@phys.ethz.ch</t>
  </si>
  <si>
    <t>Fogwill, Chris/AAW-3502-2021; Bentley, Michael J/F-7386-2011; Fogwill, Christopher/HPF-1150-2023</t>
  </si>
  <si>
    <t>Fogwill, Chris/0000-0002-6471-1106; Bentley, Michael J/0000-0002-2048-0019;</t>
  </si>
  <si>
    <t>10.1016/j.quascirev.2006.11.019</t>
  </si>
  <si>
    <t>WOS:000245961600006</t>
  </si>
  <si>
    <t>Cao, L; Fairbanks, RG; Mortlock, RA; Risk, MJ</t>
  </si>
  <si>
    <t>Cao, Li; Fairbanks, Richard G.; Mortlock, Richard A.; Risk, Michael J.</t>
  </si>
  <si>
    <t>Radiocarbon reservoir age of high latitude North Atlantic surface water during the last deglacial</t>
  </si>
  <si>
    <t>DEEP-SEA CORALS; YOUNGER-DRYAS; OCEAN CIRCULATION; C-14 AGES; ATMOSPHERIC C-14/C-12; LABRADOR SEA; VEDDE ASH; ICE-CORE; VENTILATION; CALIBRATION</t>
  </si>
  <si>
    <t>The radiocarbon reservoir age of high latitude North Atlantic Ocean surface water is essential for linking the continental and marine climate records, and is expected to vary according to changes in North Atlantic deep water (NADW) production. Measurements from this region also provide important input and/or tests of oceanic radiocarbon using 3-D global ocean circulation models. Here, we present a surface water radiocarbon reservoir age record of the high latitude western North Atlantic for the deglacial period via the use of fossil cold-water corals growing in waters that are rapidly exchanged with nearby surface waters. The reservoir age of high latitude North Atlantic surface waters was computed from the radiocarbon age difference between our radiocarbon calibration record (http://radiocarbon.LDEO.columbia.edu) and our marine radiocarbon data. Th-230/U-234/U-238 dates provide the absolute coral ages. Our high latitude North Atlantic Ocean reservoir age data combined with recalculated reservoir ages based on published coexisting terrestrial and marine material and Vedde ash radiocarbon dates from central and eastern North Atlantic show modern values (380 +/- 140 year, n = 14) during the Bolling and Allerod warm period and a 200 year increase in reservoir age (590 +/- 130 year, n = 10) during the entire Younger Dryas (YD) cold episode. The reservoir age then decreased to 270 +/- 20 year (n = 2) at the Preboreal/YD transition, although the dates are too sparse for us to be confident in this estimate. We are not able to resolve the timing of the transition to increased reservoir ages from the mid-Allerod to the YD due to the relatively small change and correspondingly large uncertainty in the estimates. The atmospheric Delta C-14 record derived from our atmospheric radiocarbon record displays a 40 per mil increase from 12,900 to 12,650 cal years BP, coincident with the shift to high reservoir ages in the early YD cold event. Intrusion of 14 C depleted Antarctic Intermediate Water (AAIW) to the high latitude North Atlantic and reduction of NADW formation are possible causes for the coincident shift to high reservoir ages in the North Atlantic surface ocean and increased atmospheric A 14 C during the beginning of the YD event. (c) 2006 Elsevier Ltd. All rights reserved.</t>
  </si>
  <si>
    <t>Columbia Univ, Lamont Doherty Earth Observ, Palisades, NY 10964 USA; Columbia Univ, Dept Earth &amp; Environm Sci, Palisades, NY 10964 USA; McMaster Univ, Sch Geog &amp; Geol, Hamilton, ON L8S 4M1, Canada</t>
  </si>
  <si>
    <t>Columbia University; Columbia University; McMaster University</t>
  </si>
  <si>
    <t>Cao, L (corresponding author), Columbia Univ, Lamont Doherty Earth Observ, Rt 9W, Palisades, NY 10964 USA.</t>
  </si>
  <si>
    <t>lcao@ldeo.columbia.edu</t>
  </si>
  <si>
    <t>Cao, Li/0000-0001-5063-6769; Mortlock, Richard/0000-0002-6019-5941</t>
  </si>
  <si>
    <t>10.1016/j.quascirev.2006.10.001</t>
  </si>
  <si>
    <t>WOS:000245961600010</t>
  </si>
  <si>
    <t>Fine structure of the retinal pigment epithelium and cones of Antarctic fish Notohenia coriiceps Richardson in light and dark-conditions</t>
  </si>
  <si>
    <t>photic variation; photoreceptor; retinomotor movements</t>
  </si>
  <si>
    <t>NILOTICUS L. CICHLIDAE; TELEOST RETINA; RETINOMOTOR RESPONSES; ELECTRON MICROSCOPY; ADAPTATION; GOLDFISH</t>
  </si>
  <si>
    <t>The Antarctic fish Notothenia coriiceps Richardson, 1844 lives in an environment of daily and annual photic variation and retina cells have to adjust morphologically to environmental luminosity. After seven day dark or seven day light acclimation of two groups of fish, retinas were extracted and processed for light and transmission electron microscopy. In seven day dark adapted, retina pigment epithelium melanin granules were aggregated at the basal region of cells, and macrophages were seen adjacent to the apical microvilli, between the photoreceptors. In seven day light adapted epithelium, melanin granules were inside the apical microvilli of epithelial cells and macrophages were absent. The supranuclear region of cones adapted to seven day light had less electron dense cytoplasm, and an endoplasmic reticulum with broad tubules. The mitochondria in the internal segment of cones adapted to seven day light were larger, and less electron dense. The differences in the morphology of cones and pigment epithelial cells indicate that N. coriiceps has retinal structural adjustments presumably optimizing vision in different light conditions.</t>
  </si>
  <si>
    <t>Univ Fed Parana, Setor Clin Biol, Dept Biol Celular, BR-81531970 Curitiba, Parana, Brazil</t>
  </si>
  <si>
    <t>Donatti, L (corresponding author), Univ Fed Parana, Setor Clin Biol, Dept Biol Celular, Caixa Postal 19031, BR-81531970 Curitiba, Parana, Brazil.</t>
  </si>
  <si>
    <t>10.1590/S0101-81752007000100004</t>
  </si>
  <si>
    <t>152OC</t>
  </si>
  <si>
    <t>WOS:000245370300004</t>
  </si>
  <si>
    <t>Bakunov, NA; Savatyugin, LM; Bolshiyanov, DY</t>
  </si>
  <si>
    <t>Bakunov, N. A.; Savatyugin, L. M.; Bolshiyanov, D. Yu.</t>
  </si>
  <si>
    <t>Preventive gradation of lakes with respect to 90Sr accumulation by fish in northwestern Russia</t>
  </si>
  <si>
    <t>RUSSIAN JOURNAL OF ECOLOGY</t>
  </si>
  <si>
    <t>Sr-90; water body; fish; accumulation coefficient; Ca; delimitation</t>
  </si>
  <si>
    <t>Bakunov, NA (corresponding author), Arctic &amp; Antarctic Res Inst, Ul Beringa 38, St Petersburg 199397, Russia.</t>
  </si>
  <si>
    <t>bolshiyanov@aari.nw.ru</t>
  </si>
  <si>
    <t>Bolshiyanov, Dmitriy D.Yu./N-2254-2015</t>
  </si>
  <si>
    <t>1067-4136</t>
  </si>
  <si>
    <t>RUSS J ECOL+</t>
  </si>
  <si>
    <t>Russ. J. Ecol.</t>
  </si>
  <si>
    <t>10.1134/S1067413607020142</t>
  </si>
  <si>
    <t>153BC</t>
  </si>
  <si>
    <t>WOS:000245405700014</t>
  </si>
  <si>
    <t>Wu, GH; Zhou, HY; Zhang, HS; Ling, HF; Ma, WL; Zhao, HQ; Chen, JL; Liu, JH</t>
  </si>
  <si>
    <t>Wu GuangHai; Zhou HuaiYang; Zhang HaiSheng; Ling HongFei; Ma WeiLin; Zhao HongQiao; Chen JianLin; Liu JieHong</t>
  </si>
  <si>
    <t>New index of ferromanganese crusts reflecting oceanic environmental oxidation</t>
  </si>
  <si>
    <t>ferromanganese crusts; the Pacific Ocean; oxidation degree of environment; the Oligocene; AABW</t>
  </si>
  <si>
    <t>DEEP-WATER; PALEOCEANOGRAPHIC IMPLICATIONS; GROWTH-RATE; EVOLUTION; PB; ND; GEOCHEMISTRY; OCEANOGRAPHY; ISOTOPES; SEAWATER</t>
  </si>
  <si>
    <t>Ferromanganese crusts (hereinafter crusts) form in aerobic environment and the environmental oxidation degree is recorded by the redox sensitive element Co in the crusts. The ages of the layers from the surface to bottom of the crusts are determined, and main element contents at high resolution along the depth sections of three crusts from the Pacific Ocean are analyzed by an electron microprobe. Thus the variations of Co/(Fe+Mn) and Co/(Ni+Cu) with age/depth of the crust layers are obtained. By comparing the ratios of Co/(Fe+Mn) and Co/(Ni+Cu) with the delta O-18 curves of the Pacific benthic foraminifera, we find that these two ratios can reflect the variation of the environmental oxidation state under which the crust layers deposit. The evolution of the oxidation degree reflected by the two indexes resembles the evolution of temperature since the Oligocene reflected by the delta O-18 curves of the Pacific benthic foraminifera. This suggests that the crust-forming environment after the Oligocene is controlled mainly by the oxygen-rich bottom water originated from the Antarctic bottom water (AABW). However it is not the case prior to the Oligocene. Furthermore it suggests that the environmental oxidation degree controls the formation of the crusts and the Co contents in the crusts. This explains why the Co contents in the crusts increase with time up to now.</t>
  </si>
  <si>
    <t>State Ocean Adm, Key Lab Marine Ecosyst &amp; Biogeochem, Hangzhou 310012, Peoples R China; State Ocean Adm, Key Lab Submarine Geosci, Hangzhou 310012, Peoples R China; Chinese Acad Sci, Geochem Inst Guangzhou, Guangzhou 510640, Peoples R China; Nanjing Univ, State Key Lab Mineral Deposit Res, Nanjing 210093, Peoples R China</t>
  </si>
  <si>
    <t>Chinese Academy of Sciences; Nanjing University</t>
  </si>
  <si>
    <t>Wu, GH (corresponding author), State Ocean Adm, Key Lab Marine Ecosyst &amp; Biogeochem, Hangzhou 310012, Peoples R China.</t>
  </si>
  <si>
    <t>guanghaiwu@sina.com</t>
  </si>
  <si>
    <t>Ling, Hong-Fei/K-3362-2016</t>
  </si>
  <si>
    <t>Ling, Hong-Fei/0000-0002-1090-6215</t>
  </si>
  <si>
    <t>10.1007/s11430-007-2011-7</t>
  </si>
  <si>
    <t>161QY</t>
  </si>
  <si>
    <t>WOS:000246031700006</t>
  </si>
  <si>
    <t>Olly; Suzy</t>
  </si>
  <si>
    <t>Olly's Antarctic journal - A big day</t>
  </si>
  <si>
    <t>TDR-THE DRAMA REVIEW-THE JOURNAL OF PERFORMANCE STUDIES</t>
  </si>
  <si>
    <t>MIT PRESS</t>
  </si>
  <si>
    <t>ONE ROGERS ST, CAMBRIDGE, MA 02142-1209 USA</t>
  </si>
  <si>
    <t>1054-2043</t>
  </si>
  <si>
    <t>1531-4715</t>
  </si>
  <si>
    <t>TDR-DRAMA REV-J PERF</t>
  </si>
  <si>
    <t>TDR-Drama Rev.-J. Perform. Stud.</t>
  </si>
  <si>
    <t>SPR</t>
  </si>
  <si>
    <t>Theater</t>
  </si>
  <si>
    <t>140VK</t>
  </si>
  <si>
    <t>WOS:000244534600025</t>
  </si>
  <si>
    <t>Bakunov, NA; Savatyugin, LM; Bol'shiyanov, DY</t>
  </si>
  <si>
    <t>Bakunov, N. A.; Savatyugin, L. M.; Bol'shiyanov, D. Yu.</t>
  </si>
  <si>
    <t>Global 90Sr discharge from soil cover with river runoff into the arctic ocean</t>
  </si>
  <si>
    <t>WATER RESOURCES</t>
  </si>
  <si>
    <t>Global Sr-90 discharge from the soil cover was estimated for a period of 30 years for rivers flowing in the European and Asian parts of the Russian North. The volumes of Sr-90 discharged from the watersheds of the Northern Dvina, Pechora, Yenisei, and Lena rivers were found to differ.</t>
  </si>
  <si>
    <t>[Bakunov, N. A.; Savatyugin, L. M.; Bol'shiyanov, D. Yu.] Arctic &amp; Antarctic Res Inst, St Petersburg 199397, Russia</t>
  </si>
  <si>
    <t>INTERPERIODICA</t>
  </si>
  <si>
    <t>BIRMINGHAM</t>
  </si>
  <si>
    <t>PO BOX 1831, BIRMINGHAM, AL 35201-1831 USA</t>
  </si>
  <si>
    <t>0097-8078</t>
  </si>
  <si>
    <t>WATER RESOUR</t>
  </si>
  <si>
    <t>Water Resour.</t>
  </si>
  <si>
    <t>10.1134/S0097807807020078</t>
  </si>
  <si>
    <t>284UK</t>
  </si>
  <si>
    <t>WOS:000254731600007</t>
  </si>
  <si>
    <t>Bledsoe, GH; Brill, JD; Zak, D; Li, GH</t>
  </si>
  <si>
    <t>Bledsoe, Gregory H.; Brill, Justin D.; Zak, Daniel; Li, Guohua</t>
  </si>
  <si>
    <t>Injury and illness aboard an Antarctic cruise ship</t>
  </si>
  <si>
    <t>Antarctica; cruise; injury; illness</t>
  </si>
  <si>
    <t>Objective.-The objective of this study was to determine the incidence and patterns of injury and illness among passengers aboard a cruise ship in Antarctica. Methods.-Demographic data on passengers were collected for all participants aboard Antarctica cruises on a single ship during the Antarctic summer cruise season of November 2004 through March 2005. Medical logs from each of 11 cruise trips were reviewed for presentation of injuries and illnesses. Results.-A total of 1057 passengers were included in the study, of which 47.4% were male. The mean age of the passengers was 54 years (+/- 16.5 years). The overall incidence rate of injury and illness was 21.7 per 1000 person-days. Motion sickness was the most common condition, comprising 42.3% of all medical encounters by the ship physician, followed by infectious diseases (17.2%) and injury (15.0%). The incidence rate of injury increased significantly with age, whereas the incidence rate of motion sickness decreased significantly with age. There was little variation in the incidence and patterns of injury and illness between genders. Conclusions.-Most illnesses and injuries were due to the motion of the ship, and a large proportion of the passengers aboard the cruise ship in Antarctica were elderly. Injury among older passengers is of special concern.</t>
  </si>
  <si>
    <t>Johns Hopkins Univ, Sch Med, Dept Emergency Med, Baltimore, MD 21209 USA</t>
  </si>
  <si>
    <t>Johns Hopkins University</t>
  </si>
  <si>
    <t>Bledsoe, GH (corresponding author), Johns Hopkins Univ, Sch Med, Dept Emergency Med, 5801 Smith Ave,Davus Bldg,Suite 3220, Baltimore, MD 21209 USA.</t>
  </si>
  <si>
    <t>gbledso1@jhmi.edu</t>
  </si>
  <si>
    <t>10.1580/06-WEME-OR-029R.1</t>
  </si>
  <si>
    <t>153AH</t>
  </si>
  <si>
    <t>WOS:000245403500008</t>
  </si>
  <si>
    <t>Stevens, MI; Frati, F; McGaughran, A; Spinsanti, G; Hogg, ID</t>
  </si>
  <si>
    <t>Stevens, Mark I.; Frati, Francesco; McGaughran, Angela; Spinsanti, Giacomo; Hogg, Ian D.</t>
  </si>
  <si>
    <t>Phylogeographic structure suggests multiple glacial refugia in northern Victoria Land for the endemic Antarctic springtail Desoria klovstadi (Collembola, Isotomidae)</t>
  </si>
  <si>
    <t>GEOGRAPHICAL-DISTRIBUTION; GOMPHIOCEPHALUS-HODGSONI; HISTORY; ICE; DNA; DIVERSITY; BIOGEOGRAPHY; VARIABILITY; HAPLOTYPES; SEQUENCES</t>
  </si>
  <si>
    <t>We carried out a phylogeographic study using mtDNA (COII) for the endemic springtail Desoria klovstadi (formerly Isotoma klovstadi) from northern Victoria Land, Antarctica. Low levels of sequence divergence (&lt;= 1.6%) across 26 unique haplotypes (from 69 individuals) were distributed according to geographic location. Cape Hallett and Daniell Peninsula contained the highest nucleotide (both &gt; 0.004) and haplotype (both &gt; 0.9) diversity with 10 (of 16) and 8 (of 12) unique haplotypes, respectively. All other populations (Football Saddle, Crater Cirque, Cape Jones) had lower diversity with 2-4 unique haplotypes. Across the 69 individuals from five populations there was only a single haplotype shared between two populations (Daniell Peninsula and Football Saddle). Furthermore, nested clade analyses revealed that some of the Daniell Peninsula haplotypes were more closely related to Football Saddle haplotypes than to any other population. Such discrete haplotype groupings suggest historical (rare) dispersal across the Pleistocene (1.8 mya-11 kya) and Holocene (11 kya-present), coupled with repeated extinction, range contraction and expansion events, and/or incomplete sampling across the species range. The nested clade analyses reveal that a common pattern of climatic and geological history over long-term glacial habitat fragmentation has determined the geographic and haplotype distributions found for D. klovstadi.</t>
  </si>
  <si>
    <t>Massey Univ, Allan Wilson Ctr Mol Ecol &amp; Evolut, Palmerston North, New Zealand; Monash Univ, Sch Biol Sci, Clayton, Vic 3800, Australia; Univ Siena, Dept Evolutionary Biol, I-53100 Siena, Italy; Univ Waikato, Ctr Biodivers &amp; Ecol Res, Hamilton, New Zealand</t>
  </si>
  <si>
    <t>Massey University; Monash University; University of Siena; University of Waikato</t>
  </si>
  <si>
    <t>Stevens, MI (corresponding author), Massey Univ, Allan Wilson Ctr Mol Ecol &amp; Evolut, Private Bag 11-222, Palmerston North, New Zealand.</t>
  </si>
  <si>
    <t>m.i.stevens@massey.ac.nz; frati@unisi.it; a.mcgaughran@massey.ac.nz; spinsanti@unisi.it; hogg@waikato.ac.nz</t>
  </si>
  <si>
    <t>McGaughran, Angela/C-5916-2014; Hogg, Ian D./HNS-7393-2023</t>
  </si>
  <si>
    <t>McGaughran, Angela/0000-0002-3429-8699; Hogg, Ian D./0000-0002-6685-0089</t>
  </si>
  <si>
    <t>10.1111/j.1463-6409.2006.00271.x</t>
  </si>
  <si>
    <t>133IN</t>
  </si>
  <si>
    <t>WOS:000244006700006</t>
  </si>
  <si>
    <t>Nebel, O; Münker, C; Nebel-Jacobsen, YJ; Kleine, T; Mezger, K; Mortimer, N</t>
  </si>
  <si>
    <t>Nebel, O.; Muenker, C.; Nebel-Jacobsen, Y. J.; Kleine, T.; Mezger, K.; Mortimer, N.</t>
  </si>
  <si>
    <t>Hf-Nd-Pb isotope evidence from Permian arc rocks for the long-term presence of the Indian-Pacific mantle boundary in the SW Pacific</t>
  </si>
  <si>
    <t>Indian-type mantle; Hf-Nd co-variations; Brook Street; mantle convection</t>
  </si>
  <si>
    <t>AUSTRALIAN-ANTARCTIC DISCORDANCE; FIELD-STRENGTH ELEMENTS; BROOK STREET TERRANE; MEDIAN TECTONIC ZONE; NEW-ZEALAND; CONTINENTAL-CRUST; ISLAND-ARC; HAFNIUM ISOTOPE; MAGMA GENESIS; CONSTRAINTS</t>
  </si>
  <si>
    <t>Trace element and initial Hf-Nd-Pb isotopic composition of a series of late Paleozoic are rocks from South Island, New Zealand show evidence for the presence of Indian-type mantle in the Permian SW Pacific. The trace element budget points to a fluid-dominated arc setting such that Ph isotope compositions for both the volcanic and intrusive rocks were controlled by addition of fluids derived from the subducted slab to the mantle wedge. Relatively unradiogenic initial Pb-207/Pb-204 ratios indicate only a negligible contribution of pelagic sediments to the subduction component. Initial Pb-208/Pb-204 VS. Pb-206/Pb-204 co-variations therefore indicate that the subduction component originates from subducted oceanic crust having a Pacific-type composition. In contrast, Hf-Nd isotope correlations, corrected for slab fluid addition, reveal an Indian-type signature for the mantle wedge. Thus, the results indicate contribution of material from both Pacific- and Indian-type mantle sources to the island arc melts. From the source variability in Hf-Nd-Pb isotopes, it is therefore evident that a mantle domain boundary was present beneath the Permian Brook Street arc, similar to the prominent present-day isotope mantle boundary in the Earth's upper mantle, which can be traced along the western Pacific rim. These observations provide strong support that the isotopically defined mantle boundary between Indian and Pacific-type mantle was present in the SW Pacific since at least the late Permian. The existence of this boundary implies that convection cells of the Pacific and Indian mantle reservoirs co-existed in close proximity and yet remained distinct and isolated from each other since at least the late Permian. These results provide strong indirect evidence for the absence of significant chemical exchange between neighboring convecting regimes, at least for the approximate duration of one mantle overturn. Applying these distinct isotope features to the Permian plate tectonic configuration, the subduction polarity of the Brook Street arc was facing westwards, towards the active SE Gondwana margin. (c) 2006 Elsevier B.V. All rights reserved.</t>
  </si>
  <si>
    <t>Vrije Univ Amsterdam, Dept Petrol, Amsterdam, Netherlands; Univ Munster, Inst Mineral, Zent Labor Geochronol, D-4400 Munster, Germany; Univ Bonn, Mineral Petrol Inst, D-5300 Bonn, Germany; ETH, Dept Erdwissensch, Zurich, Switzerland; Inst Geol &amp; Nucl Sci, Lower Hutt, New Zealand</t>
  </si>
  <si>
    <t>Vrije Universiteit Amsterdam; University of Munster; University of Bonn; Swiss Federal Institutes of Technology Domain; ETH Zurich; GNS Science - New Zealand</t>
  </si>
  <si>
    <t>Nebel, O (corresponding author), Vrije Univ Amsterdam, Dept Petrol, Amsterdam, Netherlands.</t>
  </si>
  <si>
    <t>onebel@falw.vu.nl</t>
  </si>
  <si>
    <t>Munker, Carsten/O-7606-2015; Nebel, Oliver/B-2694-2008; Mezger, Klaus/D-9502-2011; Mortimer, Nick/D-5791-2011; Kleine, Thorsten/S-2792-2017</t>
  </si>
  <si>
    <t>Munker, Carsten/0000-0001-6406-559X; Mezger, Klaus/0000-0002-2443-8539; Mortimer, Nick/0000-0002-6812-3379; Nebel, Oliver/0000-0002-5068-7117; Kleine, Thorsten/0000-0003-4657-5961; Nebel-Jacobsen, Yona/0000-0001-5600-7453</t>
  </si>
  <si>
    <t>FEB 28</t>
  </si>
  <si>
    <t>10.1016/j.epsl.2006.11.046</t>
  </si>
  <si>
    <t>144MV</t>
  </si>
  <si>
    <t>WOS:000244801400011</t>
  </si>
  <si>
    <t>Haywood, AM; Valdes, PJ; Peck, VL</t>
  </si>
  <si>
    <t>Haywood, Alan M.; Valdes, Paul J.; Peck, Victoria L.</t>
  </si>
  <si>
    <t>A permanent El Nino-like state during the Pliocene?</t>
  </si>
  <si>
    <t>ANTARCTIC CIRCUMPOLAR WAVE; OCEAN HEAT TRANSPORTS; CENTER COUPLED MODEL; SOUTHERN-OSCILLATION; MIDDLE PLIOCENE; LA-NINA; THERMOHALINE CIRCULATION; PLANKTONIC-FORAMINIFERA; ATLANTIC-OCEAN; CLIMATE-CHANGE</t>
  </si>
  <si>
    <t>[1] The Pliocene may have been characterized by permanent El Nino-like conditions. Initial modeling studies suggest that this may have contributed to Pliocene warmth. The termination of this state may have influenced Northern Hemisphere glaciation (NHG). We use the Hadley Centre Coupled Model version 3 to examine the role of the oceans and ocean structure on Pliocene warmth. A permanent El Nino-like state is not predicted. Annual mean sea surface temperatures in the eastern equatorial Pacific at Ocean Drilling Program Sites 847 and 851 increase by 1.71 degrees C and 1.15 degrees C, respectively. However, El Nino Southern Oscillation events are clearly expressed by the model. Sensitivity tests indicate that a prescribed permanent El Nino-like condition increases annual global mean surface temperatures by a maximum of 0.6 degrees C. If the Pliocene was characterized by such a condition, it is questionable that it provided a major contribution to global warmth and therefore unlikely that the termination of this state contributed significantly to the onset of NHG.</t>
  </si>
  <si>
    <t>British Antarctic Survey, Geol Sci Div, Cambridge CB3 0ET, England; Univ Bristol, Sch Geog Sci, Bristol BS8 1SS, Avon, England</t>
  </si>
  <si>
    <t>UK Research &amp; Innovation (UKRI); Natural Environment Research Council (NERC); NERC British Antarctic Survey; University of Bristol</t>
  </si>
  <si>
    <t>Haywood, AM (corresponding author), Univ Leeds, Sch Earth &amp; Environm, Environm Bldg, Leeds LS2 9JT, W Yorkshire, England.</t>
  </si>
  <si>
    <t>ahay@bas.ac.uk</t>
  </si>
  <si>
    <t>Valdes, Paul/T-2004-2019; Valdes, Paul J/C-4129-2013; peck, vicky/A-1955-2009</t>
  </si>
  <si>
    <t>Valdes, Paul/0000-0002-1902-3283;</t>
  </si>
  <si>
    <t>FEB 27</t>
  </si>
  <si>
    <t>PA1213</t>
  </si>
  <si>
    <t>10.1029/2006PA001323</t>
  </si>
  <si>
    <t>143HF</t>
  </si>
  <si>
    <t>WOS:000244710200001</t>
  </si>
  <si>
    <t>Fischer, H; Siggaard-Andersen, ML; Ruth, U; Röthlisberger, R; Wolff, E</t>
  </si>
  <si>
    <t>Fischer, Hubertus; Siggaard-Andersen, Marie-Louise; Ruth, Urs; Rothlisberger, Regine; Wolff, Eric</t>
  </si>
  <si>
    <t>Glacial/interglacial changes in mineral dust and sea-salt records in polar ice cores:: Sources, transport, and deposition</t>
  </si>
  <si>
    <t>REVIEWS OF GEOPHYSICS</t>
  </si>
  <si>
    <t>LAST GLACIAL MAXIMUM; DRONNING MAUD LAND; NITRATE FIRN CONCENTRATIONS; GENERAL-CIRCULATION MODEL; GREENLAND ICE; EAST ANTARCTICA; DOME-C; SOUTHERN-OCEAN; NORTH-ATLANTIC; ATMOSPHERIC CIRCULATION</t>
  </si>
  <si>
    <t>[ 1] Sea-salt and mineral dust records as represented by Na+ and Ca2+ concentrations, respectively, in Greenland and Antarctic ice cores show pronounced glacial/ interglacial variations. For the Last Glacial Maximum (LGM), mineral dust ( sea salt) concentrations in Greenland show an increase of a factor of approximately 80 ( 15) compared to the Holocene and significant shifts by a factor of 15 ( 5) during Dansgaard-Oeschger events. In Antarctica the dust ( sea salt) flux is enhanced by a factor of 15 ( 3) during the LGM compared to the Holocene, and variations by approximately a factor of 8 ( 1 - 2) exist in parallel to Antarctic warm events. Primary glacial dust sources are the Asian deserts for Greenland and Patagonia for Antarctica. Ice core evidence and model results show that both changes in source strength as well as atmospheric transport and lifetime contributed to the observed changes in Greenland ice cores. In Antarctica, changes in ice core fluxes are in large parts related to source variations both for sea salt and dust, where the formation of sea-salt aerosol from sea ice may play a pivotal role. Summarizing our latest estimates on changes in sources, transport, and deposition, these processes are roughly able to explain the glacial increase in sea salt in both polar regions, while they fall short by at least a factor of 4 - 7 for mineral dust. Future improvements in model resolution and in the formulation of source and transport processes together with new ice core records, e. g., on dust size distributions, will eventually allow convergence of models and observations.</t>
  </si>
  <si>
    <t>Alfred Wegener Inst Polar &amp; Marine Res, D-27568 Bremerhaven, Germany; British Antarctic Survey, Cambridge CB3 0ET, England</t>
  </si>
  <si>
    <t>Helmholtz Association; Alfred Wegener Institute, Helmholtz Centre for Polar &amp; Marine Research; UK Research &amp; Innovation (UKRI); Natural Environment Research Council (NERC); NERC British Antarctic Survey</t>
  </si>
  <si>
    <t>hufischer@awi-bremerhaven.de</t>
  </si>
  <si>
    <t>Wolff, Eric W/D-7925-2014; Fischer, Hubertus/A-1211-2014</t>
  </si>
  <si>
    <t>Wolff, Eric W/0000-0002-5914-8531; Fischer, Hubertus/0000-0002-2787-4221</t>
  </si>
  <si>
    <t>8755-1209</t>
  </si>
  <si>
    <t>1944-9208</t>
  </si>
  <si>
    <t>REV GEOPHYS</t>
  </si>
  <si>
    <t>Rev. Geophys.</t>
  </si>
  <si>
    <t>FEB 24</t>
  </si>
  <si>
    <t>RG1002</t>
  </si>
  <si>
    <t>10.1029/2005RG000192</t>
  </si>
  <si>
    <t>140CE</t>
  </si>
  <si>
    <t>Green Published, Bronze, Green Accepted</t>
  </si>
  <si>
    <t>WOS:000244479200001</t>
  </si>
  <si>
    <t>Blamey, R; Reason, CJC</t>
  </si>
  <si>
    <t>Blamey, R.; Reason, C. J. C.</t>
  </si>
  <si>
    <t>Relationships between Antarctic sea-ice and South African winter rainfall</t>
  </si>
  <si>
    <t>CLIMATE RESEARCH</t>
  </si>
  <si>
    <t>South African Climate; Antarctic sea-ice</t>
  </si>
  <si>
    <t>VARIABILITY; OCEAN; TEMPERATURE; HEMISPHERE; ENSO; CIRCULATION; OSCILLATION; EXTENT</t>
  </si>
  <si>
    <t>Evidence is presented of a statistical relationship between anomalies in winter sea-ice over the South Atlantic sector of the Antarctic and winter rainfall over western South Africa. A positive (negative) correlation exists between sea-ice concentration over the Weddell Sea/Drake Passage region (east of the Weddell Sea from 0 to 30 degrees E) and rainfall between May and September. When broken down into early, mid and late winter, the relationships appear stronger for early (May to July) and mid (June to August) winter than for late (July to September) winter and the month of July. In all cases, the relationships occur at 1 to 2 mo lead, suggesting that some predictability of winter rainfall may exist based on sea-ice concentration found earlier in the season. Analysis of circulation patterns associated with anomalously wet and dry winters from 1982 to 2004 indicates that the former are characterised by a cyclonic anomaly over southern South Africa that stretches southwest over the mid-latitude South Atlantic. In addition, there are increases in low level westerly moisture flux, and enhanced uplift, relative cyclonic vorticity and convergence over and upstream of the region. These patterns, combined with evidence of a northward shifted and more intense subtropical jet, indicate that the mid-latitude storm track is located anomalously far north during wet winters and that the cold fronts, which climatologically bring most of the annual rainfall, are likely to intensify just upstream of southwestern South Africa.</t>
  </si>
  <si>
    <t>Univ Cape Town, Dept Oceanog, ZA-7701 Rondebosch, South Africa</t>
  </si>
  <si>
    <t>University of Cape Town</t>
  </si>
  <si>
    <t>Reason, CJC (corresponding author), Univ Cape Town, Dept Oceanog, Private Bag X3, ZA-7701 Rondebosch, South Africa.</t>
  </si>
  <si>
    <t>cjr@egs.uct.ac.za</t>
  </si>
  <si>
    <t>Blamey, Ross/0000-0001-7941-326X</t>
  </si>
  <si>
    <t>0936-577X</t>
  </si>
  <si>
    <t>1616-1572</t>
  </si>
  <si>
    <t>CLIM RES</t>
  </si>
  <si>
    <t>Clim. Res.</t>
  </si>
  <si>
    <t>FEB 22</t>
  </si>
  <si>
    <t>10.3354/cr033183</t>
  </si>
  <si>
    <t>147IX</t>
  </si>
  <si>
    <t>WOS:000244997700006</t>
  </si>
  <si>
    <t>Hayward, BW; Grenfell, HR; Sabaa, AT; Neil, HL</t>
  </si>
  <si>
    <t>Hayward, Bruce W.; Grenfell, Hugh R.; Sabaa, Ashwaq T.; Neil, Helen L.</t>
  </si>
  <si>
    <t>Factors influencing the distribution of subantarctic deep-sea benthic foraminifera, Campbell and Bounty Plateaux, New Zealand</t>
  </si>
  <si>
    <t>MARINE MICROPALEONTOLOGY</t>
  </si>
  <si>
    <t>Campbell Plateau; Bounty Plateau; deep-sea benthic foraminifera; species associations; carbon flux</t>
  </si>
  <si>
    <t>WESTERN BOUNDARY CURRENT; SOUTHWEST PACIFIC; PLANKTONIC-FORAMINIFERA; EQUATORIAL PACIFIC; MANGANESE NODULES; SOUTHLAND CURRENT; FRONT REGION; OCEAN; EAST; ECOLOGY</t>
  </si>
  <si>
    <t>We investigate the combination of environmental factors that influence the distribution patterns of benthic foraminiferal tests (&gt; 63 gm) in a topographically varied region crossed by both the Subtropical and Subantarctic Fronts, south-east of New Zealand. Seafloor sample sites, extending from outer shelf (50 m) to abyssal (5000 m) depths, are bathed by five different water masses, and receive phytodetritus from Subtropical, Subantarctic and Circumpolar surface watermasses. Eight mappable associations are recognised by Q-mode cluster analysis of the benthic foraminiferal census data. Similar associations are identified using cluster analysis based solely on the presence or absence of species. Canonical correspondence analysis and a correlation coefficient matrix were used to relate the faunal data to a set of environmental proxies. These show that factors related to water depth (especially decreasing food supply with increasing depth) are the most significant in determining the overall foraminiferal distribution. Other contributing factors include surface water productivity and its seasonality; bottom water ventilation; energetic state of the benthic boundary layer and resulting substrate texture; and bottom water carbonate corrosiveness. Three shallow-water associations (50-700 m), dominated by Cassidulina carinata, Trifarina angulosa, Globocassidulina canalisuturata, Gavelinopsis praegeri, and Bolivina robusta, occur in coarse substrates on the continental shelf, and on the crests and upper slopes of four seamounts under well-oxygenated, high energy regimes, and high food input. Three mid bathyal to upper abyssal associations (500-3300 m), dominated by Alabaminella weddellensis, C. carinata, and Epistominella exigua, occur in biopelagic sandy mud, beneath a region of strongly seasonal food supply, with their composition influenced by total food flux, ventilation (Oxygen Minimum Zone), and bottom current strength. An unusual lower bathyal association (1200-2100 m), dominated by T angulosa and Ehrenbergina glabra, occurs in a belt of coarser sandy substrate that runs along the crest of the submarine plateaux slopes beneath the strongly-flowing Subantarctic Front-related currents. A deep abyssal association (3500-5000 m), dominated by Nuttallides umbonifer and Globocassidulina subglobosa, occurs on the abyssal plain beneath oligotrophic lower Circumpolar Water south-east of the Subantarctic Front and is strongly influenced by the cold, carbonate-corrosive conditions. The faunal composition of this subantarctic region is most similar to adjacent southern New Zealand, but with the addition of a few significant Antarctic elements (e.g., E. glabra, Globocassidulina crassa). (c) 2006 Elsevier B.V All rights reserved.</t>
  </si>
  <si>
    <t>Geomarine Res, Auckland, New Zealand; Natl Inst Water &amp; Atmosphere, Wellington, New Zealand</t>
  </si>
  <si>
    <t>Hayward, BW (corresponding author), Geomarine Res, 49 Swainston Rd,St Johns, Auckland, New Zealand.</t>
  </si>
  <si>
    <t>b.hayward@geomarine.org.nz</t>
  </si>
  <si>
    <t>HAYWARD, BRUCE W/AAG-2597-2019</t>
  </si>
  <si>
    <t>Hayward, Bruce W./0000-0003-1302-7686</t>
  </si>
  <si>
    <t>0377-8398</t>
  </si>
  <si>
    <t>1872-6186</t>
  </si>
  <si>
    <t>MAR MICROPALEONTOL</t>
  </si>
  <si>
    <t>Mar. Micropaleontol.</t>
  </si>
  <si>
    <t>10.1016/j.marmicro.2006.08.001</t>
  </si>
  <si>
    <t>138VZ</t>
  </si>
  <si>
    <t>WOS:000244392700001</t>
  </si>
  <si>
    <t>Des Combes, HJ; Abelmann, A</t>
  </si>
  <si>
    <t>Des Combes, H. Jacot; Abelmann, A.</t>
  </si>
  <si>
    <t>A 350-ky radiolarian record off Luderitz, Namibia- evidence for changes in the upwelling regime</t>
  </si>
  <si>
    <t>radiolarians; Benguela upwelling system; source water; Pleistocene</t>
  </si>
  <si>
    <t>SEA-SURFACE TEMPERATURES; LAST 160 KYR; SOUTH-ATLANTIC; BENGUELA CURRENT; WALVIS RIDGE; LATE PLEISTOCENE; WIND-STRENGTH; GRAIN-SIZE; SYSTEM; WATER</t>
  </si>
  <si>
    <t>The study of radiolarian assemblages from Core MD 962086 provides new information on the variability in the upwelling intensity and origin of upwelled water masses over the past 350 ky in one of the major filamentous regions of the Benguela Upwelling System (BUS), located off Luderitz, Namibia. The use of key radiolarian species to trace the source of upwelled waters, and the use of a radiolarian-based upwelling index (URI) to reconstruct the upwelling intensity represent the first use of radiolarians for paleoceanographic reconstructions in the BUS. These radiolarian-based proxies indicate strongest upwelling during Marine Isotope Stages (MIS) 3, 5, and 8, which compares well with other studies. While during MIS 3 and 8, the radiolarian-based proxies indicate the influx of waters of Southern Ocean origin, they also point to the increased influence of tropical waters during the lower portion of MIS 5. During MIS 2, 4 and 6 the radiolarian assemblages indicate generally lower upwelling intensities, although this signal is complicated by the increased occurrence of organic carbon in the sediments during these intervals. During MIS 2 there appears to be less of an input of Southern Ocean waters to the BUS, although during the also glacial MIS 4 and 6, there is evidence for an increased influence of cold Antarctic waters. The comparison of the results from Core MD 962086 with other studies in the BUS area indicates a non-uniform pattern of upwelling intensity and advection of cold, southern waters into this system during MIS 2. Weaker upwelling signaled by the radiolarian-based proxy in MIS 4 is in contrast to other studies that indicate higher productivity during this time period. In general, the data show that there is a strong spatiotemporal complexity in upwelling intensity in the BUS and that the advection of water into it is not strongly tied to glacial-interglacial variations in climate. (c) 2006 Elsevier B.V. All rights reserved.</t>
  </si>
  <si>
    <t>Des Combes, HJ (corresponding author), Alfred Wegener Inst Polar &amp; Marine Res, POB 120161,Columbusstr, D-27515 Bremerhaven, Germany.</t>
  </si>
  <si>
    <t>hdescombes@awi-bremerhaven.de</t>
  </si>
  <si>
    <t>Abelmann, Andrea/0000-0001-9432-0002</t>
  </si>
  <si>
    <t>10.1016/j.marmicro.2006.08.004</t>
  </si>
  <si>
    <t>WOS:000244392700004</t>
  </si>
  <si>
    <t>Hoffman, JI; Forcada, J; Trathan, PN; Amos, W</t>
  </si>
  <si>
    <t>Hoffman, J. I.; Forcada, J.; Trathan, P. N.; Amos, W.</t>
  </si>
  <si>
    <t>Female fur seals show active choice for males that are heterozygous and unrelated</t>
  </si>
  <si>
    <t>ARCTOCEPHALUS-GAZELLA; LEK PARADOX; PARENTAL RELATEDNESS; MATE CHOICE; GREY SEAL; PATERNITY; SELECTION; EVOLUTION; FITNESS; CAPTURE</t>
  </si>
  <si>
    <t>Much debate surrounds the exact rules that influence mating behaviour, and in particular the selective forces that explain the evolution of female preferences. A key example is the lek paradox, in which female choice is expected rapidly to become ineffective owing to loss of additive genetic variability for the preferred traits(1-3). Here we exploit a remarkable system in which female fur seals exert choice by moving across a crowded breeding colony to visit largely static males. We show that females move further to maximize the balance between male high multilocus heterozygosity and low relatedness. Such a system shows that female choice can be important even in a strongly polygynous species, and at the same time may help to resolve the lek paradox because heterozygosity has low heritability and inbreeding avoidance means there is no single 'best' male for all females.</t>
  </si>
  <si>
    <t>Univ Cambridge, Dept Zool, Cambridge CB2 3EJ, England; British Antarctic Survey, NERC, Cambridge CB3 0ET, England</t>
  </si>
  <si>
    <t>University of Cambridge; UK Research &amp; Innovation (UKRI); Natural Environment Research Council (NERC); NERC British Antarctic Survey</t>
  </si>
  <si>
    <t>Hoffman, JI (corresponding author), Univ Cambridge, Dept Zool, Downing St, Cambridge CB2 3EJ, England.</t>
  </si>
  <si>
    <t>jih24@cam.ac.uk</t>
  </si>
  <si>
    <t>Forcada, Jaume/GYU-0677-2022; Hoffman, Joseph/K-7725-2012</t>
  </si>
  <si>
    <t>Hoffman, Joseph/0000-0001-5895-8949</t>
  </si>
  <si>
    <t>10.1038/nature05558</t>
  </si>
  <si>
    <t>138CR</t>
  </si>
  <si>
    <t>WOS:000244341200048</t>
  </si>
  <si>
    <t>Sato, K; Watanuki, Y; Takahashi, A; Miller, PJO; Tanaka, H; Kawabe, R; Ponganis, PJ; Handrich, Y; Akamatsu, T; Watanabe, Y; Mitani, Y; Costa, DP; Bost, CA; Aoki, K; Amano, M; Trathan, P; Shapiro, A; Naito, Y</t>
  </si>
  <si>
    <t>Sato, Katsufumi; Watanuki, Yutaka; Takahashi, Akinori; Miller, Patrick J. O.; Tanaka, Hideji; Kawabe, Ryo; Ponganis, Paul J.; Handrich, Yves; Akamatsu, Tomonari; Watanabe, Yuuki; Mitani, Yoko; Costa, Daniel P.; Bost, Charles-Andre; Aoki, Kagari; Amano, Masao; Trathan, Phil; Shapiro, Ari; Naito, Yasuhiko</t>
  </si>
  <si>
    <t>Stroke frequency, but not swimming speed, is related to body size in free-ranging seabirds, pinnipeds and cetaceans</t>
  </si>
  <si>
    <t>PROCEEDINGS OF THE ROYAL SOCIETY B-BIOLOGICAL SCIENCES</t>
  </si>
  <si>
    <t>accelerometer; power spectral density; dive; free-ranging; scaling; optimal</t>
  </si>
  <si>
    <t>WING-PROPELLED DIVERS; OSCILLATING FOILS; DIVING BEHAVIOR; MARINE MAMMALS; BUOYANCY; PENGUINS; OPTIMIZATION; KINEMATICS; EFFICIENCY; PATTERNS</t>
  </si>
  <si>
    <t>It is obvious, at least qualitatively, that small animals move their locomotory apparatus faster than large animals: small insects move their wings invisibly fast, while large birds flap their wings slowly. However, quantitative observations have been difficult to obtain from free-ranging swimming animals. We surveyed the swimming behaviour of animals ranging from 0.5 kg seabirds to 30 000 kg sperm whales using animal-borne accelerometers. Dominant stroke cycle frequencies of swimming specialist seabirds and marine mammals were proportional to mass(-0.29) (R-2=0.99, n=17 groups), while propulsive swimming speeds of 1-2 m s(-1) were independent of body size. This scaling relationship, obtained from breath-hold divers expected to swim optimally to conserve oxygen, does not agree with recent theoretical predictions for optimal swimming. Seabirds that use their wings for both swimming and flying stroked at a lower frequency than other swimming specialists of the same size, suggesting a morphological trade-off with wing size and stroke frequency representing a compromise. In contrast, foot-propelled diving birds such as shags had similar stroke frequencies as other swimming specialists. These results suggest that muscle characteristics may constrain swimming during cruising travel, with convergence among diving specialists in the proportions and contraction rates of propulsive muscles.</t>
  </si>
  <si>
    <t>Univ Tokyo, Int Coastal Res Ctr, Ocean Res Inst, Iwatsuki, Saitama 0281102, Japan; Hokkaido Univ, Grad Sch Fisheries Sci, Hakodate, Hokkaido 0418611, Japan; Natl Inst Polar Res, Tokyo 1738515, Japan; Univ St Andrews, Sea Mammal Res Unit, St Andrews KY16 8LB, Fife, Scotland; Nagasaki Univ, Inst E China Sea Res, Nagasaki 8512213, Japan; Univ Calif San Diego, Ctr Marine Biotechnol &amp; Biomed, Scripps Inst Oceanog, La Jolla, CA 92093 USA; CNRS, Ctr Ecol &amp; Physiol Engn, F-67087 Strasbourg, France; Fisheries Res Agcy, Natl Res Inst Fisheries Engn, Ibaraki 3140408, Japan; Univ Tokyo, Ocean Res Inst, Ctr Int Cooperat, Tokyo 1648639, Japan; Tokyo Inst Technol, Meguro Ku, Tokyo 1528550, Japan; Univ Calif Santa Cruz, Long Marine Lab, Dept Ecol &amp; Evolut Biol, Santa Cruz, CA 95060 USA; CNRS, Ctr Etudes Biol Chize, F-79360 Beauvoir Nirot, France; British Antarctic Survey, NERC, Cambridge CB3 0ET, England; Woods Hole Oceanog Inst, Dept Biol, Woods Hole, MA 02543 USA</t>
  </si>
  <si>
    <t>University of Tokyo; Hokkaido University; Research Organization of Information &amp; Systems (ROIS); National Institute of Polar Research (NIPR) - Japan; University of St Andrews; Nagasaki University; University of California System; University of California San Diego; Scripps Institution of Oceanography; Universites de Strasbourg Etablissements Associes; Universite de Strasbourg; Centre National de la Recherche Scientifique (CNRS); Japan Fisheries Research &amp; Education Agency (FRA); University of Tokyo; Tokyo Institute of Technology; University of California System; University of California Santa Cruz; Centre National de la Recherche Scientifique (CNRS); UK Research &amp; Innovation (UKRI); Natural Environment Research Council (NERC); NERC British Antarctic Survey; Woods Hole Oceanographic Institution</t>
  </si>
  <si>
    <t>Sato, K (corresponding author), Univ Tokyo, Int Coastal Res Ctr, Ocean Res Inst, 2-106-1 Akahama, Iwatsuki, Saitama 0281102, Japan.</t>
  </si>
  <si>
    <t>katsu@ori.u-tokyo.ac.jp</t>
  </si>
  <si>
    <t>Amano, Masao/J-9778-2019; Carlos, Universidade Federal de São/W-8832-2019; Handrich, Yves/AAD-6472-2022; Akamatsu, Tomonari/I-6375-2016; Watanabe, Yuuki/D-5079-2012; Costa, Daniel Paul/E-2616-2013; Mitani, Yoko/D-5779-2012</t>
  </si>
  <si>
    <t>Carlos, Universidade Federal de São/0000-0002-0334-3899; Costa, Daniel Paul/0000-0002-0233-5782; Kawabe, Ryo/0000-0002-4030-6667; Amano, Masao/0000-0001-9495-5315; Mitani, Yoko/0000-0002-7420-0596; AKAMATSU, Tomonari/0000-0003-2661-6199; Watanabe, Yuuki/0000-0001-9731-1769</t>
  </si>
  <si>
    <t>0962-8452</t>
  </si>
  <si>
    <t>P R SOC B</t>
  </si>
  <si>
    <t>Proc. R. Soc. B-Biol. Sci.</t>
  </si>
  <si>
    <t>10.1098/rspb.2006.0005</t>
  </si>
  <si>
    <t>124FW</t>
  </si>
  <si>
    <t>WOS:000243354200003</t>
  </si>
  <si>
    <t>Kaeuffer, R; Coltman, DW; Chapuis, JL; Pontier, D; Réale, D</t>
  </si>
  <si>
    <t>Kaeuffer, Renaud; Coltman, David W.; Chapuis, Jean-Louis; Pontier, Dominique; Reale, Denis</t>
  </si>
  <si>
    <t>Unexpected heterozygosity in an island mouflon population founded by a single pair of individuals</t>
  </si>
  <si>
    <t>heterozygosity; island population; selection; longitudinal study</t>
  </si>
  <si>
    <t>OVIS-MUSIMON; GENETIC-VARIATION; SIZE; ARCHIPELAGO; DIVERSITY; SELECTION; BIOLOGY</t>
  </si>
  <si>
    <t>In population and conservation genetics, there is an overwhelming body of evidence that genetic diversity is lost over time in small populations. This idea has been supported by comparative studies showing that small populations have lower diversity than large populations. However, longitudinal studies reporting a decline in genetic diversity throughout the whole history of a given wild population are much less common. Here, we analysed changes in heterozygosity over time in an insular mouflon (Ovis aries) population founded by two individuals in 1957 and located on one of the most isolated locations in the world: the Kerguelen Sub-Antarctic archipelago. Heterozygosity measured using 25 microsatellite markers has actually increased over 46 years since the introduction, and exceeds the range predicted by neutral genetic models and stochastic simulations. Given the complete isolation of the population and the short period of time since the introduction, changes in genetic variation cannot be attributed to mutation or migration. Several lines of evidence suggest that the increase in heterozygosity with time may be attributable to selection. This study shows the importance of longitudinal genetic surveys for understanding the mechanisms that regulate genetic diversity in wild populations.</t>
  </si>
  <si>
    <t>Univ Quebec, Dept Biol Sci, Canada Res Chair Behav Ecol, Montreal, PQ H3C 3P8, Canada; Univ Quebec, Dept Biol Sci, GRECA, Montreal, PQ H3C 3P8, Canada; Univ Lyon 1, Lab Biometrie &amp; Biol Evolut, UMR 5558, CNRS, F-69622 Villeurbanne, France; Univ Alberta, Dept Biol Sci, Edmonton, AB T6G 2E9, Canada; Museum Natl Hist Nat, Dept Ecol &amp; Gest Biodivers, Unite 2699, UMR 6553,CNRS, F-75005 Paris, France</t>
  </si>
  <si>
    <t>University of Quebec; University of Quebec Montreal; University of Quebec; University of Quebec Montreal; Centre National de la Recherche Scientifique (CNRS); CNRS - Institute of Ecology &amp; Environment (INEE); Universite Claude Bernard Lyon 1; VetAgro Sup; University of Alberta; Centre National de la Recherche Scientifique (CNRS); CNRS - Institute of Ecology &amp; Environment (INEE); Museum National d'Histoire Naturelle (MNHN)</t>
  </si>
  <si>
    <t>Kaeuffer, R (corresponding author), Univ Quebec, Dept Biol Sci, Canada Res Chair Behav Ecol, CP 8888 Succursale Ctr Ville, Montreal, PQ H3C 3P8, Canada.</t>
  </si>
  <si>
    <t>kaeuffer.renaud@courrier.uqam.ca</t>
  </si>
  <si>
    <t>REALE, Denis/AAG-1571-2020; Coltman, Dave/HZL-7279-2023</t>
  </si>
  <si>
    <t>REALE, Denis/0000-0002-0419-7125; Coltman, Dave/0000-0002-1268-2307; Pontier, Dominique/0000-0003-4700-3543</t>
  </si>
  <si>
    <t>1471-2954</t>
  </si>
  <si>
    <t>P ROY SOC B-BIOL SCI</t>
  </si>
  <si>
    <t>10.1098/rspb.2006.3743</t>
  </si>
  <si>
    <t>WOS:000243354200010</t>
  </si>
  <si>
    <t>de Brauwere, A; Jacquet, SHM; De Ridder, F; Dehairs, F; Pintelon, R; Schoukens, J; Baeyens, W</t>
  </si>
  <si>
    <t>de Brauwere, Anouk; Jacquet, Stephanie H. M.; De Ridder, Fjo; Dehairs, Frank; Pintelon, Rik; Schoukens, Johan; Baeyens, Willy</t>
  </si>
  <si>
    <t>Water mass distributions in the Southern Ocean derived from a parametric analysis of mixing water masses</t>
  </si>
  <si>
    <t>ANTARCTIC ZONE SOUTH; THERMOCLINE CIRCULATION; SEASONAL EVOLUTION; MODEL SELECTION; INDIAN-OCEAN; MIXED-LAYER; VENTILATION; TASMANIA; SECTION; FRONTS</t>
  </si>
  <si>
    <t>[1] An empirical method to reconstruct distributions of mixing water masses is developed and applied to two Southern Ocean ( Australian sector) data sets. The method is a parametric extension of the well-known Optimum Multiparameter (OMP) analysis, therefore called POMP ( parametric OMP). The main development consists of parameterizing the mixing fractions as a function of position ( e. g. latitude and depth) and estimating the parameters of the resulting function, instead of estimating the mixing fractions for every sampling point individually. Because this enables to reduce the total number of unknowns to be estimated, the proposed adjustments result in more robust estimates of the mixing fractions, as illustrated on the Southern Ocean CLIVAR-SR3 data set ( early spring 2001). An additional consequence of the new working scheme is that the mixing distributions are smoothed. It is emphasized that the degree of smoothing should be chosen with care in order not to neglect any significant features. Statistical rules to do this are applied. Application of the POMP method to the second Southern Ocean data set (SAZ' 98, summer 1998) revealed the importance of a careful selection of the mixing source water types. This study was limited to the subantarctic region and upper 1000 m, where variations in water mass characteristics and distributions are most important. Indeed, it seems necessary to redefine the source water characteristics for each data set. The direction of these changes suggests that interannual variability or long term changes of water masses overwhelm the seasonal variability.</t>
  </si>
  <si>
    <t>Vrije Univ Brussels, Dept Elect &amp; Instrumentat, B-1050 Brussels, Belgium; Vrije Univ Brussels, Dept Analyt &amp; Environm Chem, B-1050 Brussels, Belgium</t>
  </si>
  <si>
    <t>Vrije Universiteit Brussel; Vrije Universiteit Brussel</t>
  </si>
  <si>
    <t>de Brauwere, A (corresponding author), Vrije Univ Brussels, Dept Elect &amp; Instrumentat, B-1050 Brussels, Belgium.</t>
  </si>
  <si>
    <t>adebrauw@vub.ac.be</t>
  </si>
  <si>
    <t>Pintelon, Rik/C-6979-2015; jacquet, stéphanie/K-8678-2016; Baeyens, Willy F/A-9366-2010</t>
  </si>
  <si>
    <t>Pintelon, Rik/0000-0003-2389-2075; Baeyens, Willy/0000-0002-5281-903X; Schoukens, Johan/0000-0003-0492-6137</t>
  </si>
  <si>
    <t>FEB 20</t>
  </si>
  <si>
    <t>C2</t>
  </si>
  <si>
    <t>C02021</t>
  </si>
  <si>
    <t>10.1029/2006JC003742</t>
  </si>
  <si>
    <t>140BQ</t>
  </si>
  <si>
    <t>WOS:000244477600003</t>
  </si>
  <si>
    <t>Burns, GB; Tinsley, BA; Frank-Kamenetsky, AV; Bering, EA</t>
  </si>
  <si>
    <t>Burns, G. B.; Tinsley, B. A.; Frank-Kamenetsky, A. V.; Bering, E. A.</t>
  </si>
  <si>
    <t>Interplanetary magnetic field and atmospheric electric circuit influences on ground-level pressure at Vostok</t>
  </si>
  <si>
    <t>HELIOSPHERIC CURRENT SHEET; SOLAR-WIND; TROPOSPHERIC RESPONSE; WEAK ELECTRIFICATION; CLOUD MICROPHYSICS; GEOELECTRIC FIELD; EARTH TRANSITS; POLE REGION; COSMIC-RAYS; ANTARCTICA</t>
  </si>
  <si>
    <t>The Mansurov effect, which for the Southern Hemisphere consists of a positive association between the By component (east-west) of the interplanetary magnetic field (IMF) and the ground-level pressure for stations poleward of similar to 80 degrees magnetic latitude, is confirmed for Vostok (78.5 degrees S, 106.9 degrees E; magnetic latitude 83.6 degrees S) using modern data. The magnitude of the association is small (0.19 hP per nT; 1.2% common covariance) but statistically significant (at the 96.1% level). A more substantial association exists, with a slight delay (2-3 days) and a cumulative influence, between the Vostok station pressure and the local vertical electric field, a proxy for the air-Earth current J(z). A composite series constructed as a weighted sum of vertical electric field values at lags between 1 and 4 days yields a linear regression gradient with respect to Vostok station-level pressure of 0.10 hP per Vm(-1), 10.0% common covariance and is statistically significant at the 99.9% level. We confirm a previously reported Sun-weather linkage (the Mansurov effect), provide evidence that the mechanism operates via the atmospheric electric circuit and present data supporting an inferred and more substantial surface pressure response to changes in the global atmospheric circuit.</t>
  </si>
  <si>
    <t>Australian Govt, Australian Antarctic Div, Kingston, Tas 7050, Australia; Univ Texas, William B Hanson Ctr Space Sci, Dallas, TX 75083 USA; Univ Houston, Dept Phys, Houston, TX 77204 USA; Arctic &amp; Antarctic Res Inst, St Petersburg 194175, Russia</t>
  </si>
  <si>
    <t>Australian Antarctic Division; University of Texas System; University of Texas Dallas; University of Houston System; University of Houston; Arctic &amp; Antarctic Research Institute</t>
  </si>
  <si>
    <t>Burns, GB (corresponding author), Australian Govt, Australian Antarctic Div, Kingston, Tas 7050, Australia.</t>
  </si>
  <si>
    <t>gary.burns@aad.gov.au</t>
  </si>
  <si>
    <t>FEB 17</t>
  </si>
  <si>
    <t>D4</t>
  </si>
  <si>
    <t>D04103</t>
  </si>
  <si>
    <t>10.1029/2006JD007246</t>
  </si>
  <si>
    <t>138LH</t>
  </si>
  <si>
    <t>WOS:000244363600001</t>
  </si>
  <si>
    <t>Wang, MS; Lipschutz, ME</t>
  </si>
  <si>
    <t>Wang, Ming-Sheng; Lipschutz, Michael E.</t>
  </si>
  <si>
    <t>Trace elements in primitive meteorites - VII Antarctic unequilibrated ordinary chondrites</t>
  </si>
  <si>
    <t>TYPE-3 ORDINARY CHONDRITES; H-CHONDRITES; CARBONACEOUS CHONDRITES; THERMAL METAMORPHISM; CHEMICAL FRACTIONATIONS; ABUNDANCE PATTERNS; PETROGRAPHIC TYPE; LL-CHONDRITES; CLASSIFICATION; SEMARKONA</t>
  </si>
  <si>
    <t>We report RNAA results for Co, Au, Sb, Ga, Rb, Cs, Se, Ag, Te, Zn, In, Bi, Tl and Cd (in increasing order of metamorphic mobility) in 22 Antarctic unequilibrated ordinary chondrites (UOC). This brings to 38 the number of UOC for which data for highly volatile elements are known. For elements of lesser mobility (Co to Se, omitting Cs) overall variability in UOC are low, relative standard deviations (one sigma) being no more than a factor of two. For Ag, Te and Zn, relative standard deviations are 2-4x, while for Cs and the four most volatile elements, the variabilities are 8-110x. Elemental abundances do not vary with chemical type (H, L and LL) nor with UOC subtype (3.0-3.9). Contents of all elements reach levels up to, even exceeding, cosmic and all but Cd and the two alkalis, seem unaffected by post-accretionary processes. Contents of highly volatile elements are consistent with the idea that source regions producing contemporary falls and older Antarctic UOC differed in thermal histories. The presence or absence of carbide magnetite assemblages (CMA) generally accords with high or low Cd contents, respectively. This relationship accords with the prior suggestion that CMA formed by alteration of Fe-Ni metal by C-O-H-containing fluids at temperatures &lt; 700 K, generated by thermal metamorphism in parent body interiors. The absence of CMA in most UOC (and OC), may indicate that they were subsequently destroyed as metamorphic intensity increased. The high, often supercosmic, Rb and Cs levels in UOC may result from their high solubility in liquid water signalling their redistribution by C-O-H-containing fluid while in the liquid water field. Because of its uniquely high mobility, Cd could have been enriched by the C-O-H fluids and should have been lost from parent regions during later, higher temperature anhydrous metamorphism at temperatures in the 500-600 degrees C range. (c) 2006 Elsevier Inc. All rights reserved.</t>
  </si>
  <si>
    <t>Purdue Univ, Dept Chem, W Lafayette, IN 47907 USA</t>
  </si>
  <si>
    <t>Purdue University System; Purdue University</t>
  </si>
  <si>
    <t>Lipschutz, ME (corresponding author), Purdue Univ, Dept Chem, W Lafayette, IN 47907 USA.</t>
  </si>
  <si>
    <t>rnaapuml@purdue.edu</t>
  </si>
  <si>
    <t>Wang, Mingsheng/J-9252-2013</t>
  </si>
  <si>
    <t>FEB 15</t>
  </si>
  <si>
    <t>10.1016/j.gca.2006.10.009</t>
  </si>
  <si>
    <t>136YH</t>
  </si>
  <si>
    <t>WOS:000244259500017</t>
  </si>
  <si>
    <t>Hawes, TC; Bale, JS; Worland, MR; Convey, P</t>
  </si>
  <si>
    <t>Hawes, T. C.; Bale, J. S.; Worland, M. R.; Convey, P.</t>
  </si>
  <si>
    <t>Plasticity and superplasticity in the acclimation potential of the Antarctic mite Halozetes belgicae (Michael)</t>
  </si>
  <si>
    <t>phenotypic plasticity; rapid cold hardening; maritime Antarctic; Halozetes belgicae; acclimation</t>
  </si>
  <si>
    <t>COLD-HARDENING INCREASES; SHOCK INJURY; TEMPERATURE; TOLERANCE; COLLEMBOLAN; DROSOPHILA</t>
  </si>
  <si>
    <t>The plasticity of an organism's phenotype may vary spatially and temporally, and across levels of physiological organisation. Given the adaptive value of plasticity in heterogeneous environments, it might be expected that it will be expressed most in a phenotype's most significant adaptive suites; at high latitudes, one of these is low temperature adaptation. This study examines the phenotypic plasticity of cold acclimation in the Antarctic mite, Halozetes belgicae (Michael). Both plastic and 'superplastic' (extreme plasticity) acclimation responses were found. Plastic responses were evident in responses to laboratory acclimation and field acclimatisation. 'Superplasticity' was found in its ability to rapidly cold harden (RCH) at 0, -5 and -10 degrees C. For example, after just 2 h of acclimation at 0 degrees C, mites acclimated at 10 degrees C shifted their supercooling points (SCPs) by approx. 15 degrees C. In terms of the combined speed of induction and lowering of lethal temperature, this is the most potent RCH response yet reported for a terrestrial arthropod. RCH was also expressed in thermal activity thresholds. Mechanisms responsible for significant differences in recovery from chill torpor are unknown; however, analysis of gut nucleator abundance suggest that the dynamic management of supercooling potential is largely achieved behaviourally, via evacuation. Comparisons with the literature reveal that plasticity in this species varies latitudinally, as well as temporally. The high degree of plasticity identified here is coincident with H. belgicae's occupation of the most exposed spatial niche available to Antarctic terrestrial arthropods.</t>
  </si>
  <si>
    <t>Univ Birmingham, Dept Biosci, Birmingham B15 2TT, W Midlands, England; British Antarctic Survey, NERC, Cambridge CB3 0ET, England</t>
  </si>
  <si>
    <t>Hawes, TC (corresponding author), Univ Birmingham, Dept Biosci, Birmingham B15 2TT, W Midlands, England.</t>
  </si>
  <si>
    <t>10.1242/jeb.02691</t>
  </si>
  <si>
    <t>142ER</t>
  </si>
  <si>
    <t>WOS:000244632700010</t>
  </si>
  <si>
    <t>Species apart</t>
  </si>
  <si>
    <t>Orcas are found in every ocean and have a wide range of tastes in prey. In 1758 they were given the name Orcinus orca, and have been treated as a single species since then. However, some biologists are hoping to review orca taxonomy and believe that there may be at least one new species of orca out there. Following a survey of the Antarctic, Robert Pitman believes that there are three types of orca, differing in size, color and prey. The need for genetic data is universally agreed as neither behavior nor size is a sure guide to taxonomy.</t>
  </si>
  <si>
    <t>136EK</t>
  </si>
  <si>
    <t>WOS:000244205200016</t>
  </si>
  <si>
    <t>Knutz, PC; Zahn, R; Hall, IR</t>
  </si>
  <si>
    <t>Knutz, Paul C.; Zahn, Rainer; Hall, Ian R.</t>
  </si>
  <si>
    <t>Centennial-scale variability of the British Ice Sheet: Implications for climate forcing and Atlantic meridional overturning circulation during the last deglaciation</t>
  </si>
  <si>
    <t>NORTH-ATLANTIC; GLACIAL PERIOD; HEINRICH EVENTS; GREENLAND ICE; RAPID CHANGES; ANTARCTIC PENINSULA; ICEBERG DISCHARGES; ISOTOPE STAGE-2; SOLAR INFLUENCE; NORWEGIAN-SEA</t>
  </si>
  <si>
    <t>Evidence from paleoclimatic archives suggests that Earth's climate experienced rapid temperature changes associated with pronounced interhemispheric asymmetry during the last glacial period. Explanations for these climate excursions have converged on nonlinear interactions between ice sheets and the ocean's thermohaline circulation, but the driving mechanism remains to be identified. Here we use multidecadal marine records of faunal, oxygen isotope, and sediment proxies from the northeast Atlantic proximal to the western margins of the last glacial British Ice Sheet (BIS) to document the coupling between ice sheet dynamics, ocean circulation, and insolation changes. The core data reveal successions of short-lived (80-100 years), high-amplitude ice-rafted debris (IRD) events that were initiated up to 2000 years before the deposition of detrital carbonate during Heinrich events (HE) 1 and 2. Progressive disintegration of the BIS 19-16 kyr before present (B.P.) occurred in response to abrupt ocean-climate warmings that impinged on the northeast Atlantic during the early deglaciation. Peak IRD deposition recurs at 180-220 year intervals plausibly involving repeated breakup of glacial tidewater margins and fringing marine ice shelves. The early deglaciation culminated in a major meltwater pulse at similar to 16.3 kyr B. P. followed by another discharge associated with HE1 some 300 years after. We conclude that temperature changes related to external forcing and marine heat transport caused a rapid response of the BIS and possibly other margins of the Eurasian Ice Sheet. Massive but short-lived meltwater surges influenced the Atlantic meridional overturning circulation thereby contributing to North Atlantic climate variability and bipolar climatic asymmetry.</t>
  </si>
  <si>
    <t>Univ Copenhagen, Inst Geol, Copenhagen, Denmark; Univ Autonoma Barcelona, Inst Ciencia &amp; Tecnol Ambientals, E-08193 Bellaterra, Spain; Inst Catalan Rec &amp; Estudis Avancats, E-08193 Bellaterra, Spain; Cardiff Univ, Sch Earth Ocean &amp; Planetary Sci, Cardiff CF710 3YE, Wales</t>
  </si>
  <si>
    <t>University of Copenhagen; Autonomous University of Barcelona; ICREA; Cardiff University</t>
  </si>
  <si>
    <t>Knutz, PC (corresponding author), Geol Survey Denmark &amp; Greenland, Oster Voldgade 10, DK-1350 Copenhagen K, Denmark.</t>
  </si>
  <si>
    <t>pkn@geus.dk</t>
  </si>
  <si>
    <t>Knutz, Paul C/B-5814-2015; Hall, Ian/C-2755-2009</t>
  </si>
  <si>
    <t>Knutz, Paul C/0000-0001-5188-4254; Hall, Ian/0000-0001-6960-1419</t>
  </si>
  <si>
    <t>Natural Environment Research Council [NER/A/S/2001/01189] Funding Source: researchfish</t>
  </si>
  <si>
    <t>PA1207</t>
  </si>
  <si>
    <t>10.1029/2006PA001298</t>
  </si>
  <si>
    <t>138QF</t>
  </si>
  <si>
    <t>Bronze, Green Published, Green Accepted</t>
  </si>
  <si>
    <t>WOS:000244376600001</t>
  </si>
  <si>
    <t>Chmel, A; Smirnov, V</t>
  </si>
  <si>
    <t>Chmel, A.; Smirnov, V.</t>
  </si>
  <si>
    <t>The artic-sea-ice cover: problem of forecasting</t>
  </si>
  <si>
    <t>PHYSICA A-STATISTICAL MECHANICS AND ITS APPLICATIONS</t>
  </si>
  <si>
    <t>sea-ice cover; sea-ice dynamics; self-organized criticality</t>
  </si>
  <si>
    <t>SELF-ORGANIZED CRITICALITY; FRACTURE; EARTHQUAKES; MODEL</t>
  </si>
  <si>
    <t>The ice-research station North Pole 32 (NP 32) was established on the ice pack in the Arctic Ocean in 2003 and drifted up to February 2004, when a global perturbation in the sea-ice-cover caused the intensive ice fragmentation around the actual position of the NP 32. As a result, the station ceased its activity and was abandoned in March 2004. The statistical characterization of the sea-ice cover fragmentation and the drift dynamics during the final weeks of the work of the NP 32 are under consideration in this communication. The work is an attempt to reveal some features in the prehistory of this large-scale event which could serve for forecasting the substantial perturbations in the sea-ice cover. The most prominent feature that indicated the approach of the sea-ice fragmentation over the area of similar to 10(5) km(2) was the break of the correlated motion of ice-fields observed 2 days before the catastrophic event. (c) 2006 Elsevier B.V. All rights reserved.</t>
  </si>
  <si>
    <t>Russian Acad Sci, AF Ioffe Physicotech Inst, Fracture Phys Dept, St Petersburg 194021, Russia; Arctic &amp; Antarctic Res Inst, St Petersburg 199397, Russia</t>
  </si>
  <si>
    <t>Russian Academy of Sciences; St. Petersburg Scientific Centre of the Russian Academy of Sciences; Ioffe Physical Technical Institute; Arctic &amp; Antarctic Research Institute</t>
  </si>
  <si>
    <t>Chmel, A (corresponding author), Russian Acad Sci, AF Ioffe Physicotech Inst, Fracture Phys Dept, St Petersburg 194021, Russia.</t>
  </si>
  <si>
    <t>chmel@mail.ioffe.ru</t>
  </si>
  <si>
    <t>0378-4371</t>
  </si>
  <si>
    <t>PHYSICA A</t>
  </si>
  <si>
    <t>Physica A</t>
  </si>
  <si>
    <t>10.1016/j.physa.2006.08.045</t>
  </si>
  <si>
    <t>134LM</t>
  </si>
  <si>
    <t>WOS:000244084500030</t>
  </si>
  <si>
    <t>Ferrando, S; Bottaro, M; Gallus, L; Girosi, L; Vacchi, M; Tagliafierro, G</t>
  </si>
  <si>
    <t>Ferrando, Sara; Bottaro, Massimiliano; Gallus, Lorenzo; Girosi, Laura; Vacchi, Marino; Tagliafierro, Grazia</t>
  </si>
  <si>
    <t>First detection of olfactory marker protein (OMP) immunoreactivity in the olfactory epithelium of a cartilaginous fish</t>
  </si>
  <si>
    <t>NEUROSCIENCE LETTERS</t>
  </si>
  <si>
    <t>olfactory marker protein; olfactory receptor neurons; crypt neurons; cartilaginous fish; S. canicula</t>
  </si>
  <si>
    <t>GENE DELETION CAUSES; RECEPTOR NEURONS; SYSTEM; ONTOGENY; ORGANS; SHARK</t>
  </si>
  <si>
    <t>Olfactory marker protein (OMP) is a protein expressed in the mature olfactory and vomeronasal neurons of many vertebrates, such as mammals, amphibians and bony fishes. Aim of this work was to investigate the OMP expression in the olfactory epithelium of the shark Scyliorhinus canicula (Linnaeus, 1758), by immunohistochemistry (IHC). Immunoreactivity was detected in the olfactory receptor neurons, in the crypt neurons and in the nerve fibers below the epithelium. Although very little is known about the OMP's function, its involvement in synaptogenesis, transduction cascade. neurogenesis and development of olfactory system has been suggested. The present work shows for the first time OMP's presence in a cartilaginous fish. (c) 2006 Elsevier Ireland Ltd. All rights reserved.</t>
  </si>
  <si>
    <t>Univ Genoa, Dept Biol, LIBiOM, I-16132 Genoa, Italy; Univ Genoa, CO Natl Antarctic Museum, ICRAM, I-16132 Genoa, Italy</t>
  </si>
  <si>
    <t>University of Genoa; University of Genoa</t>
  </si>
  <si>
    <t>Ferrando, S (corresponding author), Univ Genoa, Dept Biol, LIBiOM, Viale Benedetto XV 5, I-16132 Genoa, Italy.</t>
  </si>
  <si>
    <t>sara.ferrando@unige.it</t>
  </si>
  <si>
    <t>Ferrando, Sara/AAC-9934-2022</t>
  </si>
  <si>
    <t>Ferrando, Sara/0000-0002-5781-9709; Bottaro, Massimiliano/0000-0001-7995-5288</t>
  </si>
  <si>
    <t>ELSEVIER IRELAND LTD</t>
  </si>
  <si>
    <t>CLARE</t>
  </si>
  <si>
    <t>ELSEVIER HOUSE, BROOKVALE PLAZA, EAST PARK SHANNON, CO, CLARE, 00000, IRELAND</t>
  </si>
  <si>
    <t>0304-3940</t>
  </si>
  <si>
    <t>1872-7972</t>
  </si>
  <si>
    <t>NEUROSCI LETT</t>
  </si>
  <si>
    <t>Neurosci. Lett.</t>
  </si>
  <si>
    <t>FEB 14</t>
  </si>
  <si>
    <t>10.1016/j.neulet.2006.11.051</t>
  </si>
  <si>
    <t>Neurosciences</t>
  </si>
  <si>
    <t>Neurosciences &amp; Neurology</t>
  </si>
  <si>
    <t>141RB</t>
  </si>
  <si>
    <t>WOS:000244595300017</t>
  </si>
  <si>
    <t>Mitra, A; Das, IML</t>
  </si>
  <si>
    <t>Mitra, Amitabh; Das, I. M. L.</t>
  </si>
  <si>
    <t>Simulation of Antarctic sea ice</t>
  </si>
  <si>
    <t>Antarctica; ECMWF re-analysis; sea ice; Semtner model; Winton model</t>
  </si>
  <si>
    <t>THERMODYNAMIC MODEL</t>
  </si>
  <si>
    <t>Semtner's three-layer sea ice model and Winton's reformulated three-layer sea ice model have been applied to the Antarctic region (where there are chances of sea ice disappearing in the summer leading to open water) for simulating some features of sea ice using the ECMWF re-analysis data. The results of the simulation have been compared with the observation.</t>
  </si>
  <si>
    <t>Univ Allahabad, K Banerjee Ctr Atmospher &amp; Ocean Studies, Nehru Sci Ctr, Allahabad 211002, Uttar Pradesh, India; Univ Allahabad, Dept Phys, Allahabad 211002, Uttar Pradesh, India</t>
  </si>
  <si>
    <t>Das, IML (corresponding author), Univ Allahabad, K Banerjee Ctr Atmospher &amp; Ocean Studies, Nehru Sci Ctr, Allahabad 211002, Uttar Pradesh, India.</t>
  </si>
  <si>
    <t>drimldas@yahoo.com</t>
  </si>
  <si>
    <t>CURRENT SCIENCE ASSN</t>
  </si>
  <si>
    <t>FEB 10</t>
  </si>
  <si>
    <t>139JZ</t>
  </si>
  <si>
    <t>WOS:000244429400021</t>
  </si>
  <si>
    <t>Fletcher, SEM; Gruber, N; Jacobson, AR; Gloor, M; Doney, SC; Dutkiewicz, S; Gerber, M; Follows, M; Joos, F; Lindsay, K; Menemenlis, D; Mouchet, A; Müller, SA; Sarmiento, JL</t>
  </si>
  <si>
    <t>Fletcher, S. E. Mikaloff; Gruber, N.; Jacobson, A. R.; Gloor, M.; Doney, S. C.; Dutkiewicz, S.; Gerber, M.; Follows, M.; Joos, F.; Lindsay, K.; Menemenlis, D.; Mouchet, A.; Muller, S. A.; Sarmiento, J. L.</t>
  </si>
  <si>
    <t>Inverse estimates of the oceanic sources and sinks of natural CO2 and the implied oceanic carbon transport</t>
  </si>
  <si>
    <t>ANTARCTIC CIRCUMPOLAR CURRENT; INORGANIC CARBON; ATMOSPHERIC CO2; INTERHEMISPHERIC TRANSPORT; ANTHROPOGENIC CO2; DIOXIDE TRANSPORT; SOUTHERN-OCEAN; NORTH-ATLANTIC; BULK DATA; SEA</t>
  </si>
  <si>
    <t>We use an inverse method to estimate the global-scale pattern of the air-sea flux of natural CO2, i.e., the component of the CO2 flux due to the natural carbon cycle that already existed in preindustrial times, on the basis of ocean interior observations of dissolved inorganic carbon (DIC) and other tracers, from which we estimate Delta C-gasex, i.e., the component of the observed DIC that is due to the gas exchange of natural CO2. We employ a suite of 10 different Ocean General Circulation Models (OGCMs) to quantify the error arising from uncertainties in the modeled transport required to link the interior ocean observations to the surface fluxes. The results from the contributing OGCMs are weighted using a model skill score based on a comparison of each model's simulated natural radiocarbon with observations. We find a pattern of air-sea flux of natural CO2 characterized by outgassing in the Southern Ocean between 44 degrees S and 59 degrees S, vigorous uptake at midlatitudes of both hemispheres, and strong outgassing in the tropics. In the Northern Hemisphere and the tropics, the inverse estimates generally agree closely with the natural CO2 flux results from forward simulations of coupled OGCM-biogeochemistry models undertaken as part of the second phase of the Ocean Carbon Model Intercomparison Project (OCMIP-2). The OCMIP-2 simulations find far less air-sea exchange than the inversion south of 20 degrees S, but more recent forward OGCM studies are in better agreement with the inverse estimates in the Southern Hemisphere. The strong source and sink pattern south of 20 degrees S was not apparent in an earlier inversion study, because the choice of region boundaries led to a partial cancellation of the sources and sinks. We show that the inversely estimated flux pattern is clearly traceable to gradients in the observed Delta C-gasex, and that it is relatively insensitive to the choice of OGCM or potential biases in Delta C-gasex. Our inverse estimates imply a southward interhemispheric transport of 0.31 +/- 0.02 Pg C yr(-1), most of which occurs in the Atlantic. This is considerably smaller than the 1 Pg C yr(-1) of Northern Hemisphere uptake that has been inferred from atmospheric CO2 observations during the 1980s and 1990s, which supports the hypothesis of a Northern Hemisphere terrestrial sink.</t>
  </si>
  <si>
    <t>Univ Calif Los Angeles, Dept Atmospher &amp; Ocean Sci, Los Angeles, CA USA; Princeton Univ, Program Atmospher &amp; Ocean Sci, Princeton, NJ 08544 USA; Woods Hole Oceanog Inst, Woods Hole, MA 02543 USA; MIT, Dept Earth Atmospher &amp; Planetary Sci, Cambridge, MA 02139 USA; Univ Bern, Inst Phys, CH-3012 Bern, Switzerland; Natl Ctr Atmospher Res, Climate &amp; Global Dynam Div, Boulder, CO 80307 USA; CALTECH, Jet Prop Lab, Pasadena, CA 91109 USA; Univ Liege, Astrophys &amp; Geophys Inst, B-4000 Liege, Belgium</t>
  </si>
  <si>
    <t>University of California System; University of California Los Angeles; Princeton University; National Oceanic Atmospheric Admin (NOAA) - USA; Woods Hole Oceanographic Institution; Massachusetts Institute of Technology (MIT); University of Bern; National Center Atmospheric Research (NCAR) - USA; National Aeronautics &amp; Space Administration (NASA); NASA Jet Propulsion Laboratory (JPL); California Institute of Technology; University of Liege</t>
  </si>
  <si>
    <t>Fletcher, SEM (corresponding author), Princeton Univ, Program Atmospher &amp; Ocean Sci, POB CN710, Princeton, NJ 08544 USA.</t>
  </si>
  <si>
    <t>mikaloff@princeton.edu; nicolas.gruber@env.ethz.ch; andy.jacobson@noaa.gov; e.gloor@leeds.ac.uk; sdoney@whoi.edu; stephd@ocean.mit.edu; mgerber@climate.unibe.ch; mick@ocean.mit.edu; joos@climate.unibe.ch; klindsay@ucar.edu; menemenlis@jpl.nasa.gov; a.mouchet@ulg.ac.be; smueller@climate.unibe.ch; jls@princeton.edu</t>
  </si>
  <si>
    <t>Gruber, Nicolas/B-7013-2009; Joos, Fortunat/B-4118-2018; Jacobson, Andrew/AAO-8857-2020; Follows, Michael J/G-9824-2011; Doney, Scott/F-9247-2010; Menemenlis, Dimitris/G-8091-2017; Mouchet, Anne/K-1911-2014</t>
  </si>
  <si>
    <t>Gruber, Nicolas/0000-0002-2085-2310; Joos, Fortunat/0000-0002-9483-6030; Jacobson, Andrew/0000-0002-8501-3382; Doney, Scott/0000-0002-3683-2437; Menemenlis, Dimitris/0000-0001-9940-8409; Mouchet, Anne/0000-0002-8846-3063; Mikaloff Fletcher, Sara/0000-0003-0741-0320</t>
  </si>
  <si>
    <t>GB1010</t>
  </si>
  <si>
    <t>10.1029/2006GB002751</t>
  </si>
  <si>
    <t>136DK</t>
  </si>
  <si>
    <t>WOS:000244202600001</t>
  </si>
  <si>
    <t>Kastanja, MM; Henrich, R</t>
  </si>
  <si>
    <t>Kastanja, Mia Maria; Henrich, Rudiger</t>
  </si>
  <si>
    <t>Grain-size variations in pelagic carbonate oozes from the Walvis Ridge-SE Atlantic Ocean (ODP Site 1265): A low resolution Miocene record of carbonate sedimentation and preservation</t>
  </si>
  <si>
    <t>Miocene; Walvis Ridge-South Atlantic; carbonate dissolution; winnowing; silt analysis</t>
  </si>
  <si>
    <t>BENGUELA UPWELLING SYSTEM; DEEP-WATER CIRCULATION; ISOTOPE STRATIGRAPHY; CALCIUM-CARBONATE; INDIAN-OCEAN; MIDDLE; FLUCTUATIONS; DISSOLUTION; OLIGOCENE; VARIABILITY</t>
  </si>
  <si>
    <t>A record of variations in winnowing and dissolution was established for Miocene (19-7 Ma) deep-sea sediments at Site 1265 from the Walvis Ridge, South Atlantic. In this study we apply a new preservation index based on the abundance of coarse calcareous silt fraction (10-63 m). The Miocene record of this silt preservation index corresponds well with the conventional foraminiferal preservation index and variations in sand content. Preservation ranging from good to moderate during the Miocene indicates that Site 1265 is located above and close to the foraminiferal lysocline. Grain size, mass accumulation rates of carbonate, and organic carbon records indicate that changes in productivity and carbonate production play a minor role in variations of calcium carbonate concentration. The Miocene variation in carbonate content is caused mostly by a combination of winnowing and dissolution. Significant decreases of preservation at 17.3, 16.3, 13.8, 13.0, 11.6, and 10.4 Ma coincide with Miocene glacial events (Mi-events), suggesting that dissolution was caused by an increase of Southern Component Water (SCW) influence, which occurred as a response to the intensification of Antarctic ice sheet development. The SCW acts as the major deep-water source during the global Miocene cooling. At 10.4 Ma a change to overall better preservation points to a weakening of SCW that occurred as a response to the initiation or strengthening of North Atlantic Deep Water (NADW). (c) 2006 Elsevier B.V. All rights reserved.</t>
  </si>
  <si>
    <t>Univ Bremen, Res Ctr Ocean Margin, D-28324 Bremen, Germany; Univ Bremen, Fac Geosci, D-28334 Bremen, Germany</t>
  </si>
  <si>
    <t>University of Bremen; University of Bremen</t>
  </si>
  <si>
    <t>Kastanja, MM (corresponding author), Univ Bremen, Res Ctr Ocean Margin, D-28324 Bremen, Germany.</t>
  </si>
  <si>
    <t>kastanja@uni-bremen.de</t>
  </si>
  <si>
    <t>FEB 9</t>
  </si>
  <si>
    <t>10.1016/j.margeo.2006.10.040</t>
  </si>
  <si>
    <t>139VA</t>
  </si>
  <si>
    <t>WOS:000244459500006</t>
  </si>
  <si>
    <t>Bowen, GJ</t>
  </si>
  <si>
    <t>Bowen, Gabriel J.</t>
  </si>
  <si>
    <t>Palaeoclimate - When the world turned cold</t>
  </si>
  <si>
    <t>EOCENE-OLIGOCENE TRANSITION; ANTARCTIC GLACIATION; PALEOGENE; PLATEAU; CALCITE; OCEAN</t>
  </si>
  <si>
    <t>Purdue Univ, Dept Earth &amp; Atmospher Sci, W Lafayette, IN 47907 USA</t>
  </si>
  <si>
    <t>Bowen, GJ (corresponding author), Purdue Univ, Dept Earth &amp; Atmospher Sci, W Lafayette, IN 47907 USA.</t>
  </si>
  <si>
    <t>gjbowen@purdue.edu</t>
  </si>
  <si>
    <t>Bowen, Gabriel J/C-1708-2008</t>
  </si>
  <si>
    <t>Bowen, Gabriel/0000-0002-6928-3104</t>
  </si>
  <si>
    <t>FEB 8</t>
  </si>
  <si>
    <t>10.1038/445607a</t>
  </si>
  <si>
    <t>133UM</t>
  </si>
  <si>
    <t>WOS:000244039400031</t>
  </si>
  <si>
    <t>Dupont-Nivet, G; Krijgsman, W; Langereis, CG; Abels, HA; Dai, S; Fang, XM</t>
  </si>
  <si>
    <t>Dupont-Nivet, Guillaume; Krijgsman, Wout; Langereis, Cor G.; Abels, Hemmo A.; Dai, Shuang; Fang, Xiaomin</t>
  </si>
  <si>
    <t>Tibetan plateau aridification linked to global cooling at the Eocene-Oligocene transition</t>
  </si>
  <si>
    <t>CLIMATE-CHANGE; ANTARCTIC GLACIATION; MYR AGO; MIOCENE; INITIATION; EVOLUTION; UPLIFT; ONSET; BASIN; RATES</t>
  </si>
  <si>
    <t>Continental aridification and the intensification of the monsoons in Asia are generally attributed to uplift of the Tibetan plateau and to the land - sea redistributions associated with the continental collision of India and Asia(1-3), whereas some studies suggest that past changes in Asian environments are mainly governed by global climate(4-6). The most dramatic climate event since the onset of the collision of India and Asia is the Eocene - Oligocene transition, an abrupt cooling step associated with the onset of glaciation in Antarctica 34 million years ago(7-9). However, the influence of this global event on Asian environments is poorly understood. Here we use magnetostratigraphy and cyclostratigraphy to show that aridification, which is indicated by the disappearance of playa lake deposits in the northeastern Tibetan plateau, occurred precisely at the time of the Eocene - Oligocene transition. Our findings suggest that this global transition is linked to significant aridification and cooling in continental Asia recorded by palaeontological and palaeoenvironmental changes(10-12), and thus support the idea that global cooling is associated with the Eocene - Oligocene transition(13-15). We show that, with sufficient age control on the sedimentary records, global climate can be distinguished from tectonism and recognized as a major contributor to continental Asian environments.</t>
  </si>
  <si>
    <t>Univ Utrecht, Dept Earth Sci, Paleomagnet Lab Ft Hoofddijk, NL-3584 CD Utrecht, Netherlands; Lanzhou Univ, Key Lab Western Chinas Environm Syst, Lanzhou 730000, Gansu, Peoples R China; Chinese Acad Sci, Inst Tibetan Plateau Res, Beijing 100085, Peoples R China</t>
  </si>
  <si>
    <t>Utrecht University; Lanzhou University; Chinese Academy of Sciences; Institute of Tibetan Plateau Research, CAS</t>
  </si>
  <si>
    <t>Dupont-Nivet, G (corresponding author), Univ Utrecht, Dept Earth Sci, Paleomagnet Lab Ft Hoofddijk, Budapestlaan 17, NL-3584 CD Utrecht, Netherlands.</t>
  </si>
  <si>
    <t>gdn@geo.uu.nl</t>
  </si>
  <si>
    <t>Shuang, Dai/AEE-6220-2022; DAI, shuang/JMC-3362-2023; DUPONT-NIVET, Guillaume/HII-9066-2022</t>
  </si>
  <si>
    <t>Shuang, Dai/0000-0002-4294-2712; DUPONT-NIVET, Guillaume/0000-0001-9905-9739; Krijgsman, Wout/0000-0002-1472-1074; Langereis, Cor/0000-0001-9232-2178; Abels, Hemmo/0000-0001-7648-3369</t>
  </si>
  <si>
    <t>10.1038/nature05516</t>
  </si>
  <si>
    <t>WOS:000244039400041</t>
  </si>
  <si>
    <t>Barrett, JE; Virginia, RA; Lyons, WB; McKnight, DM; Priscu, JC; Doran, PT; Fountain, AG; Wall, DH; Moorhead, DL</t>
  </si>
  <si>
    <t>Barrett, J. E.; Virginia, R. A.; Lyons, W. B.; McKnight, D. M.; Priscu, J. C.; Doran, P. T.; Fountain, A. G.; Wall, D. H.; Moorhead, D. L.</t>
  </si>
  <si>
    <t>Biogeochemical stoichiometry of Antarctic Dry Valley ecosystems</t>
  </si>
  <si>
    <t>SOUTHERN VICTORIA LAND; GLACIAL MELTWATER STREAM; TAYLOR VALLEY; SOIL DEVELOPMENT; ORGANIC-CARBON; PHOSPHORUS FRACTIONS; NUTRIENT LIMITATION; HYPORHEIC EXCHANGE; TRANSIENT STORAGE; FRESH-WATER</t>
  </si>
  <si>
    <t>Among aquatic and terrestrial landscapes of the McMurdo Dry Valleys, Antarctica, ecosystem stoichiometry ranges from values near the Redfield ratios for C: N: P to nutrient concentrations in proportions far above or below ratios necessary to support balanced microbial growth. This polar desert provides an opportunity to evaluate stoichiometric approaches to understand nutrient cycling in an ecosystem where biological diversity and activity are low, and controls over the movement and mass balances of nutrients operate over 10-10(6) years. The simple organisms ( microbial and metazoan) comprising dry valley foodwebs adhere to strict biochemical requirements in the composition of their biomass, and when activated by availability of liquid water, they influence the chemical composition of their environment according to these ratios. Nitrogen and phosphorus varied significantly in terrestrial and aquatic ecosystems occurring on landscape surfaces across a wide range of exposure ages, indicating strong influences of landscape development and geochemistry on nutrient availability. Biota control the elemental ratio of stream waters, while geochemical stoichiometry ( e. g., weathering, atmospheric deposition) evidently limits the distribution of soil invertebrates. We present a conceptual model describing transformations across dry valley landscapes facilitated by exchanges of liquid water and biotic processing of dissolved nutrients. We conclude that contemporary ecosystem stoichiometry of Antarctic Dry Valley soils, glaciers, streams, and lakes results from a combination of extant biological processes superimposed on a legacy of landscape processes and previous climates.</t>
  </si>
  <si>
    <t>Univ Illinois, Chicago, IL 60607 USA; Portland State Univ, Dept Geog &amp; Geol, Portland, OR 97207 USA; Ohio State Univ, Byrd Polar Res Ctr, Columbus, OH 43210 USA; Univ Colorado, Inst Arct &amp; Alpine Res, Boulder, CO 80309 USA; Univ Toledo, Toledo, OH 43606 USA; Montana State Univ, Bozeman, MT 59717 USA; Dartmouth Coll, Environm Studies Program, Hanover, NH 03755 USA; Colorado State Univ, Nat Resource Ecol Lab, Ft Collins, CO 80523 USA</t>
  </si>
  <si>
    <t>University of Illinois System; University of Illinois Chicago; University of Illinois Chicago Hospital; Portland State University; University System of Ohio; Ohio State University; University of Colorado System; University of Colorado Boulder; University System of Ohio; University of Toledo; Montana State University System; Montana State University Bozeman; Dartmouth College; Colorado State University</t>
  </si>
  <si>
    <t>Barrett, JE (corresponding author), Virginia Polytech Inst &amp; State Univ, Dept Biol Sci, Blacksburg, VA 24061 USA.</t>
  </si>
  <si>
    <t>jebarre@vt.edu</t>
  </si>
  <si>
    <t>Wall, Diana H/F-5491-2011; Barrett, John/D-5851-2016</t>
  </si>
  <si>
    <t>MCKNIGHT, DIANE/0000-0002-4171-1533; Barrett, John/0000-0002-7610-0505</t>
  </si>
  <si>
    <t>Office of Polar Programs (OPP); Directorate For Geosciences [0832755, 1041742] Funding Source: National Science Foundation</t>
  </si>
  <si>
    <t>Office of Polar Programs (OPP); Directorate For Geosciences(National Science Foundation (NSF)NSF - Directorate for Geosciences (GEO))</t>
  </si>
  <si>
    <t>FEB 7</t>
  </si>
  <si>
    <t>G1</t>
  </si>
  <si>
    <t>G01010</t>
  </si>
  <si>
    <t>10.1029/2005JG000141</t>
  </si>
  <si>
    <t>136DV</t>
  </si>
  <si>
    <t>WOS:000244203700001</t>
  </si>
  <si>
    <t>Davis, TH</t>
  </si>
  <si>
    <t>Davis, Tinsley H.</t>
  </si>
  <si>
    <t>Profile of James P. Kennett</t>
  </si>
  <si>
    <t>ICE-CORE RECORD; DEEP-SEA CORES; ANTARCTIC GLACIATION; CLIMATE; INSTABILITY; METHANE; HISTORY; OCEAN</t>
  </si>
  <si>
    <t>FEB 6</t>
  </si>
  <si>
    <t>10.1073/pnas.0609142104</t>
  </si>
  <si>
    <t>135BD</t>
  </si>
  <si>
    <t>WOS:000244127900006</t>
  </si>
  <si>
    <t>Ozaki, H; Ebihara, M</t>
  </si>
  <si>
    <t>Ozaki, Hiromasa; Ebihara, Mitsuru</t>
  </si>
  <si>
    <t>Determination of trace halogens in rock samples by radiochemical neutron activation analysis coupled with the k0-standardization method</t>
  </si>
  <si>
    <t>halogens; radiochemical neutron activation analysis; k(0)-standardization; geological samples; cosmochemical samples</t>
  </si>
  <si>
    <t>ANTARCTIC METEORITES; IODINE; CHLORINE</t>
  </si>
  <si>
    <t>Radiochemical neutron activation analysis coupled with the k(0)-standardization method (k(0)-RNAA method) was applied to silicate rock samples for the simultaneous determination of trace halogens (Cl, Br and I). Analytical results obtained by the k(0.)RNAA method for geological standard rocks and meteorite samples agreed with those determined by the conventional comparison method conducted in the same set of experiments, suggesting that the k(0)-RNAA method is as reliable as the conventional method. Our data for these samples are in good agreement with their literature values except for rare cases. Detection limits calculated under the present experimental condition are sufficiently low for Cl and Br but not for I for typical geologic and meteoritic samples. The k(0)-RNAA method coupled with longer neutron-irradiation is expected to yield satisfactorily low detection limits for halogens including I in these samples. (c) 2006 Elsevier B.V. All rights reserved.</t>
  </si>
  <si>
    <t>Tokyo Metropolitan Univ, Grad Sch Sci, Dept Chem, Hachioji, Tokyo 1920397, Japan; Univ Tokyo, Nucl Sci &amp; Technol Res Ctr, Tokai, Ibaraki 3191195, Japan</t>
  </si>
  <si>
    <t>Tokyo Metropolitan University; University of Tokyo</t>
  </si>
  <si>
    <t>Ebihara, M (corresponding author), Tokyo Metropolitan Univ, Grad Sch Sci, Dept Chem, Hachioji, Tokyo 1920397, Japan.</t>
  </si>
  <si>
    <t>ebihara-mitsuru@c.metro-u.ac.jp</t>
  </si>
  <si>
    <t>FEB 5</t>
  </si>
  <si>
    <t>10.1016/j.aca.2006.10.032</t>
  </si>
  <si>
    <t>133ZX</t>
  </si>
  <si>
    <t>WOS:000244053500023</t>
  </si>
  <si>
    <t>Shearer, WT; Zhang, SJ; Reuben, JM; Lee, BN; Butel, JS</t>
  </si>
  <si>
    <t>Shearer, William T.; Zhang, Shaojie; Reuben, James M.; Lee, Bang-Ning; Butel, Janet S.</t>
  </si>
  <si>
    <t>Predictors of immune function in space flight</t>
  </si>
  <si>
    <t>ACTA ASTRONAUTICA</t>
  </si>
  <si>
    <t>15th IAA Humans in Space Symposium</t>
  </si>
  <si>
    <t>Graz, AUSTRIA</t>
  </si>
  <si>
    <t>space flight; radiation; polyoma virus infection; T lymphocytes; interferon-gamma; latent virus reactivation</t>
  </si>
  <si>
    <t>EPSTEIN-BARR-VIRUS; BODY PROTON-IRRADIATION; ACTIVE ANTIRETROVIRAL THERAPY; ANTARCTIC WINTER; RADIATION; SPACEFLIGHT; SYSTEM; REACTIVATION; RESPONSES; HUMANS</t>
  </si>
  <si>
    <t>Of all of the environmental conditions of space flight that might have an adverse effect upon human immunity and the incidence of infection, space radiation stands out as the single-most important threat. As important as this would be on humans engaged in long and deep space flight, it obviously is not possible to plan Earth-bound radiation and infection studies in humans. Therefore, we propose to develop a murine model that could predict the adverse effects of space flight radiation and reactivation of latent virus infection for humans. Recent observations on the effects of gamma and latent virus infection demonstrate latent virus reactivation and loss of T cell mediated immune responses in a murine model. We conclude that using this small animal method of quantitating the amounts of radiation and latent virus infection and resulting alterations in immune responses, it may be possible to predict the degree of immunosuppression in interplanetary space travel for humans. Moreover, this model could be extended to include other space flight conditions, such as microgravity, sleep deprivation, and isolation, to obtain a more complete assessment of space flight risks for humans. (c) 2006 Elsevier Ltd. All rights reserved.</t>
  </si>
  <si>
    <t>Texas Childrens Hosp, Dept Pediat, Sect Allergy &amp; Immunol, Houston, TX 77030 USA; Baylor Coll Med, Dept Mol Virol &amp; Microbiol, Houston, TX 77030 USA; Univ Texas, MD Anderson Canc Ctr, Dept Hematopathol, Houston, TX 77030 USA</t>
  </si>
  <si>
    <t>Baylor College of Medicine; Baylor College of Medicine; University of Texas System; UTMD Anderson Cancer Center</t>
  </si>
  <si>
    <t>Shearer, WT (corresponding author), Texas Childrens Hosp, Dept Pediat, Sect Allergy &amp; Immunol, MC FC330-01, Houston, TX 77030 USA.</t>
  </si>
  <si>
    <t>wtsheare@TexasChildrensHospital.org</t>
  </si>
  <si>
    <t>Shearer, William/0000-0002-2483-2130; Butel, Janet/0000-0002-6876-3245</t>
  </si>
  <si>
    <t>0094-5765</t>
  </si>
  <si>
    <t>1879-2030</t>
  </si>
  <si>
    <t>ACTA ASTRONAUT</t>
  </si>
  <si>
    <t>Acta Astronaut.</t>
  </si>
  <si>
    <t>FEB-APR</t>
  </si>
  <si>
    <t>4-7</t>
  </si>
  <si>
    <t>10.1016/j.actaastro.2006.08.005</t>
  </si>
  <si>
    <t>Engineering, Aerospace</t>
  </si>
  <si>
    <t>144NA</t>
  </si>
  <si>
    <t>WOS:000244801900005</t>
  </si>
  <si>
    <t>Annibaldi, A; Truzzi, C; Illuminati, S; Bassotti, E; Scarponi, G</t>
  </si>
  <si>
    <t>Annibaldi, A.; Truzzi, C.; Illuminati, S.; Bassotti, E.; Scarponi, G.</t>
  </si>
  <si>
    <t>Determination of water-soluble and insoluble (dilute-HCl-extractable) fractions of Cd, Pb and Cu in Antarctic aerosol by square wave anodic stripping voltammetry: distribution and summer seasonal evolution at Terra Nova Bay (Victoria Land)</t>
  </si>
  <si>
    <t>ANALYTICAL AND BIOANALYTICAL CHEMISTRY</t>
  </si>
  <si>
    <t>Antarctic aerosol; heavy metals; soluble; insoluble fractionation; square wave anodic stripping voltammetry; summer seasonal variation; source identification</t>
  </si>
  <si>
    <t>SIGNIFICANT NATURAL SOURCE; ATMOSPHERIC HEAVY-METALS; GREENLAND ICE CORE; TRACE-METALS; CHEMICAL SPECIATION; ATLANTIC-OCEAN; PARTICULATE MATTER; LEAD CONCENTRATION; SEQUENTIAL EXTRACTION; METHYLATED MERCURY</t>
  </si>
  <si>
    <t>Eight PM10 aerosol samples were collected in the vicinity of the Mario Zucchelli Italian Antarctic Station (formerly Terra Nova Bay Station) during the 2000-2001 austral summer using a high-volume sampler and precleaned cellulose filters. The aerosol mass was determined by differential weighing of filters carried out in a clean chemistry laboratory under controlled temperature and humidity. A two-step sequential extraction procedure was used to separate the water-soluble and the insoluble (dilute-HCl-extractable) fractions. Cd, Pb and Cu were determined in the two fractions using an ultrasensitive square wave anodic stripping voltammetric (SWASV) procedure set up for and applied to aerosol samples for the first time. Total extractable metals showed maxima at midsummer for Cd and Pb and a less clear trend for Cu. In particular, particulate metal concentrations ranged as follows: Cd 0.84-9.2 mu g g(-1) (average 4.7 mu g g(-1)), Pb 13.2-81 mu g g(-1) (average 33 mu g g(-1)), Cu 126-628 mu g g(-1) (average 378 mu g g(-1)). In terms of atmospheric concentration, the values were: Cd 0.55-6.3 pg m(-3) (average 3.4 pg m(-3)), Pb 8.7-48 pg m(3) (average 24 pg m(-3)), Cu 75-365 pg m(-3) (average 266 pg m(-3)). At the beginning of the season the three metals appear widely distributed in the insoluble (HCl-extractable) fraction (higher proportions for Cd and Pb, 90-100%, and lower for Cu, 70-90%) with maxima in the second half of December. The soluble fraction then increases, and at the end of the season Cd and Pb are approximately equidistributed between the two fractions, while for Cu the soluble fraction reaches its maximum level of 36%. Practically negligible contributions are estimated for crustal and sea-spray sources. Low but significant volcanic contributions are estimated for Cd and Pb (similar to 10% and similar to 5%, respectively), while there is an evident although not quantified marine biogenic source, at least for Cd. The estimated natural contributions (possibly including the marine biogenic source) cannot account for the high fractions of the metal contents, particularly for Pb and Cu, and this suggests that pollution from long-range transport is the dominant source.</t>
  </si>
  <si>
    <t>Polytech Univ Marche, Dept Marine Sci, I-60131 Ancona, Italy</t>
  </si>
  <si>
    <t>Annibaldi, A (corresponding author), Polytech Univ Marche, Dept Marine Sci, Via Breece Bianche, I-60131 Ancona, Italy.</t>
  </si>
  <si>
    <t>a.annibaldi@univpm.it</t>
  </si>
  <si>
    <t>Scarponi, Giuseppe/AAQ-6394-2021; Illuminati, Silvia/T-7873-2019; Illuminati, Silvia/GXZ-5038-2022</t>
  </si>
  <si>
    <t>Scarponi, Giuseppe/0000-0003-2932-0596; Illuminati, Silvia/0000-0001-6465-5477;</t>
  </si>
  <si>
    <t>1618-2642</t>
  </si>
  <si>
    <t>1618-2650</t>
  </si>
  <si>
    <t>ANAL BIOANAL CHEM</t>
  </si>
  <si>
    <t>Anal. Bioanal. Chem.</t>
  </si>
  <si>
    <t>FEB</t>
  </si>
  <si>
    <t>10.1007/s00216-006-0994-0</t>
  </si>
  <si>
    <t>Biochemical Research Methods; Chemistry, Analytical</t>
  </si>
  <si>
    <t>Biochemistry &amp; Molecular Biology; Chemistry</t>
  </si>
  <si>
    <t>130RA</t>
  </si>
  <si>
    <t>WOS:000243815500026</t>
  </si>
  <si>
    <t>Suontama, J; Kiessling, A; Melle, W; Waagbo, R; Olsen, RE</t>
  </si>
  <si>
    <t>Suontama, J.; Kiessling, A.; Melle, W.; Waagbo, R.; Olsen, R. E.</t>
  </si>
  <si>
    <t>Protein from Northern krill (Thysanoessa inermis), Antarctic krill (Euphausia superba) and the Arctic amphipod (Themisto libellula) can partially replace fish meal in diets to Atlantic salmon (Salmo salar) without affecting product quality</t>
  </si>
  <si>
    <t>amphipod; astaxanthin; crustacean meal; krill; muscle technical and chemical quality; sensory analysis; texture; zooplankton</t>
  </si>
  <si>
    <t>RAINBOW-TROUT; ONCORHYNCHUS-MYKISS; ASTAXANTHIN DIPALMITATE; PIGMENTATION; TEMPERATURE; CAROTENOIDS; TEXTURE; COLOR; RIGOR; FILLETS</t>
  </si>
  <si>
    <t>The main objective of the present study was to evaluate the effect of using three different crustacean meals (Tysanoessa inermis, Euphausia superba, Themisto libellula) on product quality of Atlantic salmon (Salmo salar L.). In order to do this, a total of six iso-protein, iso-lipid and iso-carotenoid diets were prepared. Two experimental diet series were prepared. In the first series, a control feed (K0) was compared with diets where 20%, 40% and 60% of the fish meal protein were replaced with protein from Northern krill T. inermis (K20, K40 and K60, respectively). In the second series, control feed (K0) was compared with diets where 40% of the dietary protein was replaced by protein from T. inermis (K40), Antarctic krill E. superba (AK40) and the Arctic amphipod T. libellula (AMP40). The salmon groups were fed the various diets for 160 days and the average weight of the fish increased from 410 g to around 1500 g. Fish given diets containing krill displayed a general better growth compared with the ones given pure fish meal diet. Replacing fish meal protein with protein from the crustacean sources had, in general, only minor effects on the flesh quality measured both by technical and sensory methods. However, some significant effects were noted. Postmortem muscle pH was generally lower (P &lt; 0.05), for K20, K40, AMP40 in fish fed crustacean diets compared with those receiving the control diet. Increasing the replacement level of non-fish meal protein from Northern krill (K20, K60) significantly reduced the rigor contraction. Fish given K20 had a slightly firmer meat texture, measured as resistance to post-rigor compression, especially when compared with K60 (P &lt; 0.05). Fish from the K20 and AMP40 groups had a deeper red flesh coloration [both light reflection (A*-value and chroma) and flesh astaxanthin concentration] than fish fed K0 and higher inclusions of krill meal. The groups with the highest astaxanthin flesh content also showed the best growth and had the highest feed intake. Finally, a sensory panel analysis differed slightly from the technical measurements in that K0, rather than K20 was given the highest score for hardness and colour. In comparison with K0, AK40 got the lowest salty taste and hardness scores from the panellists relative to the control fish (P &lt; 0.05). Despite minor effects on the present quality measures, it is concluded that meal from three different crustacean species can successfully replace fish meal up to 60% with Northern krill, and 40% of Antarctic krill and amphipod meal of dietary proteins.</t>
  </si>
  <si>
    <t>Inst Marine Res, N-5817 Bergen, Norway; Norwegian Univ Life Sci, Dept Anim &amp; Aquacultural Sci, As, Norway; Aquaculture Prot Ctr, As, Norway; Natl Inst Nutr &amp; Seafood Res, Bergen, Norway</t>
  </si>
  <si>
    <t>Institute of Marine Research - Norway; Norwegian University of Life Sciences</t>
  </si>
  <si>
    <t>Suontama, J (corresponding author), Inst Marine Res, N-5817 Bergen, Norway.</t>
  </si>
  <si>
    <t>Waagbo, Rune/B-7532-2012; Waagbø, Rune/M-4567-2019</t>
  </si>
  <si>
    <t>Olsen, Rolf/0000-0001-7523-3165; Olsen, Rolf Erik/0000-0002-6633-5837; Waagbo, Rune/0000-0001-6075-3221</t>
  </si>
  <si>
    <t>10.1111/j.1365-2095.2007.00453.x</t>
  </si>
  <si>
    <t>124ZP</t>
  </si>
  <si>
    <t>WOS:000243411600006</t>
  </si>
  <si>
    <t>Fishback, L; Kershaw, GP</t>
  </si>
  <si>
    <t>Fishback, LeeAnn; Kershaw, G. Peter</t>
  </si>
  <si>
    <t>Proceedings of the Fifth Circumpolar Ecosystems Conference and Workshop, Churchill, Manitoba, Canada, February 2004 - Introduction</t>
  </si>
  <si>
    <t>Churchill No Studies Ctr, Churchill, MB R0B 0E0, Canada; Univ Alberta, Dept Earth &amp; Atmospher Sci, Edmonton, AB T6G 2E1, Canada</t>
  </si>
  <si>
    <t>University of Alberta</t>
  </si>
  <si>
    <t>Fishback, L (corresponding author), Churchill No Studies Ctr, POB 610, Churchill, MB R0B 0E0, Canada.</t>
  </si>
  <si>
    <t>fishback@voyageur.ca</t>
  </si>
  <si>
    <t>10.1657/1523-0430(2007)39[1:POTFCE]2.0.CO;2</t>
  </si>
  <si>
    <t>142OF</t>
  </si>
  <si>
    <t>WOS:000244658600001</t>
  </si>
  <si>
    <t>Chambers, CA; Dick, TA</t>
  </si>
  <si>
    <t>Chambers, Chandra A.; Dick, Terry A.</t>
  </si>
  <si>
    <t>Using environmental variables to predict the structure of deep-sea Arctic fish communities: Implications for food web construction</t>
  </si>
  <si>
    <t>5th Circumpolar Ecosystems Conference and Workshop</t>
  </si>
  <si>
    <t>FEB, 2004</t>
  </si>
  <si>
    <t>Churchill, CANADA</t>
  </si>
  <si>
    <t>BAFFIN-BAY</t>
  </si>
  <si>
    <t>Understanding trophic interaction within deep-sea marine communities is critically important as commercial exploitation increases in the Arctic. Undoubtedly, the Arctic marine environment will be subject to the same environmental and human stressors as its southern counterparts and, as a result, community stability is vulnerable. The objectives of this study were to test the predictive power of environmental variables on fish community composition using redundancy analysis and to determine if this information could be used to differentiate distinct trophic communities throughout the Davis Strait/Baffin Bay region. This analysis used data collected in benthic surveys from 2000 to 2004, and results indicate that water temperature, latitude, and depth strongly influence the distribution of fish species in this region. Latitude and water temperature were strongly negatively correlated, and the majority of species were distributed along the low latitude/high temperature to high latitude/low temperature gradient. Some fish species were more highly correlated with depth. Proportions of most by-catch species differed between northern and southern regions at each depth range. Since community structure changes gradually along environmental gradients, perhaps it is more appropriate to describe the communities as shifting their trophic status along environmental gradients rather than as distinct communities with distinct food webs in a specific region of the Arctic.</t>
  </si>
  <si>
    <t>Univ Manitoba, Dept Zool, Winnipeg, MB R3T 2N2, Canada</t>
  </si>
  <si>
    <t>University of Manitoba</t>
  </si>
  <si>
    <t>Chambers, CA (corresponding author), Univ Manitoba, Dept Zool, Winnipeg, MB R3T 2N2, Canada.</t>
  </si>
  <si>
    <t>tadick@cc.umanitoba.ca</t>
  </si>
  <si>
    <t>10.1657/1523-0430(2007)39[2:UEVTPT]2.0.CO;2</t>
  </si>
  <si>
    <t>WOS:000244658600002</t>
  </si>
  <si>
    <t>Kershaw, GP; McCulloch, J</t>
  </si>
  <si>
    <t>Kershaw, G. Peter; McCulloch, Jennifer</t>
  </si>
  <si>
    <t>Midwinter snowpack variation across the Arctic treeline, Churchill, Manitoba, Canada</t>
  </si>
  <si>
    <t>SIMULATED TRANSPORT CORRIDOR; TUNDRA; ACCUMULATION; FOREST; VEGETATION; COVER; TAIGA; WIND; NWT</t>
  </si>
  <si>
    <t>The study area spans the 15-km-wide ecotone between coastal tundra and open subarctic forest near Churchill, Manitoba, Canada. Study sites include Black Spruce Wetland, White Spruce Forest, Burned Forest, Forest-tundra Tree Island, and Tundra. These ecosystems are representative of ones that dominate the circumpolar north. Mid-winter snowpack characteristics were measured during 2002, 2003, and 2004, including depth, density, and snow water equivalent. These studies reveal differences induced by changing vegetation characteristics and associated microclimates. Despite the dramatic differences in canopy, the post-fire forest snowpack differed little from that of the unburned forests. Interannual variations were much less than intersite variations in most snowpack characteristics. These studies are intended to be repeated annually in order to establish a longitudinal study of snowpack variation across the Arctic treeline during a period of predicted dramatic change in climate.</t>
  </si>
  <si>
    <t>Univ Alberta, Dept Earth &amp; Atmospher Sci, Edmonton, AB T6G 2E3, Canada; Churchill No Studies Ctr, Churchill, MB R0B 0E0, Canada</t>
  </si>
  <si>
    <t>Kershaw, GP (corresponding author), Univ Alberta, Dept Earth &amp; Atmospher Sci, Edmonton, AB T6G 2E3, Canada.</t>
  </si>
  <si>
    <t>peter.kershaw@ualberta.ca; mcculloch_jen@hotmail.com</t>
  </si>
  <si>
    <t>WOS:000244658600003</t>
  </si>
  <si>
    <t>Rausch, J; Kershaw, GP</t>
  </si>
  <si>
    <t>Rausch, Jennie; Kershaw, G. Peter</t>
  </si>
  <si>
    <t>Short-term revegetation performance on gravel-dominated, human-induced disturbances, Churchill, Manitoba, Canada</t>
  </si>
  <si>
    <t>ASSISTED REVEGETATION; NATURAL REVEGETATION; ALASKA; TUNDRA; RECLAMATION; VEGETATION; SITES; COVER; PITS; USA</t>
  </si>
  <si>
    <t>The Churchill area has many examples of gravel-dominated, human-induced disturbances such as gravel pits and pads. These disturbances have occurred in a geographically small area with high biological diversity and detract from the aesthetics of this tourist destination. Eight treatments consisting of combinations of peat moss, seeding, fertilizer, snow fencing, and microrelief alteration were installed to improve the growth conditions on three gravel pits and two gravel pads ranging from predominantly tundra to predominantly boreal forest ecosystems. Plant-related assessments of the treatments (density, frequency, and cover) were made after the first and second growing seasons. Twenty-six species of plants were considered to be successful colonizers by at least one of the following criteria: &gt; 2% cover, &gt; 20% frequency, or &gt; 10 stems m(-2). Androsace septentrionalis L., Carex L. spp., and Dryas integrifolia Vah1 were the only taxa to meet all three criteria in both years. Differences related to the sites (i.e., seed bank, seed source, and substrate conditions) were greater than treatment differences. At three of the sites, seeded treatments had significantly more seedlings than the non-seeded treatments. These three sites were species-poor prior to revegetation testing and were dominated by the seeded species. The other two sites were dominated by species from the seed bank or from seed rain. Total seedling density on seeded plots increased by 17% compared to the controls while cover did not increase appreciably in the short term. Six native species were tested and three (Anemone multifida Poir., Hedysarum mackenzei Richards., and Linum leivisii Pursh) considered suitable for future use, adding to those tested by Firlotte (1998) in the Churchill region. It was determined that seed bank and potential for seed rain had a major influence on the success of seeding as opposed to substrate improvements alone.</t>
  </si>
  <si>
    <t>Univ Alberta, Dept Earth &amp; Atmospher Sci, Edmonton, AB T6E 2E3, Canada</t>
  </si>
  <si>
    <t>Rausch, J (corresponding author), Univ Alberta, Dept Earth &amp; Atmospher Sci, Edmonton, AB T6E 2E3, Canada.</t>
  </si>
  <si>
    <t>peter.kershaw@ualberta.ca</t>
  </si>
  <si>
    <t>10.1657/1523-0430(2007)39[16:SRPOGH]2.0.CO;2</t>
  </si>
  <si>
    <t>WOS:000244658600004</t>
  </si>
  <si>
    <t>Barni, E; Freppaz, M; Siniscalco, C</t>
  </si>
  <si>
    <t>Barni, Elena; Freppaz, Michele; Siniscalco, Consolata</t>
  </si>
  <si>
    <t>Interactions between vegetation, roots, and soil stability in restored high-altitude ski runs in the Alps</t>
  </si>
  <si>
    <t>TRIFOLIUM-PALLESCENS SCHREB; ORGANIC-MATTER; SWISS ALPS; SEEDLING ESTABLISHMENT; ALPINE ECOSYSTEMS; PARTICLE-SIZE; THALII VILL; AGGREGATION; RESTORATION; DISTURBANCE</t>
  </si>
  <si>
    <t>Construction of ski runs has a very heavy impact on alpine ecosystems since it results in total destruction of the existing vegetation and profound alteration of the soil. Restoration work must thus set out to develop a protective plant cover immediately and promote re-establishment of a functional plant-soil system in the long term. The aims of the present study, conducted at the Monterosa ski resort (Val d'Ayas, Aosta, Italy) were to evaluate (1) how disturbance related to ski run construction at high altitude (2200-2600 m a.s.l.) has affected vegetation and soil properties compared to undisturbed sites, and (2) how vegetation and soil properties change in machine-graded ski runs with increasing time after hydroseeding. Herbaceous cover and specific composition, root density, physico-chemical soil properties, and aggregate stability were evaluated to determine the vegetation and soil dynamics of four runs constructed above timberline and hydroseeded 4, 6, 10, and 12 years ago, respectively, and of the adjacent undisturbed alpine pasture as control. The seeded species had quickly formed a cover that was still high even after 10 years. However, cover values were always extremely low for wild species, and this could be related to their strategies and to altered soil properties (higher pH, organic matter impoverishment, and loss of both fine particles and aggregates). The study indicated that more has to be done to conserve or restore physico-chemical soil properties as a decisive factor in establishing a self-sustaining native plant community.</t>
  </si>
  <si>
    <t>Dipartimento Biol Vegetale, I-10125 Turin, Italy; DiVaPRA Chim Agr, Lab Neve Suoli Alpini, I-10095 Grugliasco, Italy</t>
  </si>
  <si>
    <t>Barni, E (corresponding author), Dipartimento Biol Vegetale, Viale Mattioli,25, I-10125 Turin, Italy.</t>
  </si>
  <si>
    <t>elena.barni@unito.it</t>
  </si>
  <si>
    <t>Barni, Elena/C-7096-2012; Siniscalco, consolata/P-5756-2015</t>
  </si>
  <si>
    <t>Barni, Elena/0000-0001-7256-0064; Siniscalco, consolata/0000-0002-8848-4980</t>
  </si>
  <si>
    <t>10.1657/1523-0430(2007)39[25:IBVRAS]2.0.CO;2</t>
  </si>
  <si>
    <t>WOS:000244658600005</t>
  </si>
  <si>
    <t>Björk, RG; Molau, U</t>
  </si>
  <si>
    <t>Bjork, Robert G.; Molau, Ulf</t>
  </si>
  <si>
    <t>Ecology of alpine snowbeds and the impact of global change</t>
  </si>
  <si>
    <t>NIWOT RIDGE; GROWING-SEASON; FRONT RANGE; SEEDLING ESTABLISHMENT; ENVIRONMENTAL IMPACTS; MICROBIAL ACTIVITY; SNOWMELT GRADIENT; KIAERIA STARKEI; PLANT COMMUNITY; ARCTIC TUNDRA</t>
  </si>
  <si>
    <t>The ecosystems of alpine snowbed habitats are reviewed with emphasis on ecosystem functioning and capability to adapt to current and predicted global change. Snowbeds form in topographic depressions that accumulate large amounts of snow during the winter months, and the final snowmelt does not occur until late in the growing season. Many species preferentially grow in snowbed habitats and some of these are even restricted to these habitats. In this review we identify several ecosystem services which snowbeds provide to the alpine landscape. For instance, snowbeds provide a steady water and nutrient supply to adjacent plant communities and offer newly emerged high-quality food for herbivores late in the growing season. We also propose that alpine snowbeds are much more productive than earlier thought, especially when the very short growing season and often high grazing pressure are taken fully into account. Furthermore, we propose that bryophytes and graminoids (grasses, sedges, and rushes) probably will be most negatively impacted by global change, and the snowbed plant communities will be invaded by species from adjacent plant communities, especially by shrubs and boreal species. As snowbed plants have special growth conditions, their sensitivity and ability to respond rapidly to changes in annual snowfall patterns make snowbed communities particularly vulnerable in a warmer climate, and thereby sensitive indicators of global change.</t>
  </si>
  <si>
    <t>Univ Gothenburg, Dept Plant &amp; Environm Sci, SE-40530 Gothenburg, Sweden</t>
  </si>
  <si>
    <t>University of Gothenburg</t>
  </si>
  <si>
    <t>Björk, RG (corresponding author), Univ Gothenburg, Dept Plant &amp; Environm Sci, POB 461, SE-40530 Gothenburg, Sweden.</t>
  </si>
  <si>
    <t>robert.bjork@dpes.gu.se</t>
  </si>
  <si>
    <t>Björk, Robert/I-9772-2019</t>
  </si>
  <si>
    <t>Björk, Robert/0000-0001-7346-666X</t>
  </si>
  <si>
    <t>10.1657/1523-0430(2007)39[34:EOASAT]2.0.CO;2</t>
  </si>
  <si>
    <t>WOS:000244658600006</t>
  </si>
  <si>
    <t>Cannon, KP</t>
  </si>
  <si>
    <t>Cannon, Kenneth P.</t>
  </si>
  <si>
    <t>They went as high as the choose:  What an isolated skull can tell us about the biogeography of high-altitude bison</t>
  </si>
  <si>
    <t>ISOTOPIC COMPOSITION; STABLE-CARBON; CLIMATE; DIET; PHYSIOLOGY; MOUNTAINS; FRACTIONATION; EVOLUTION; ABUNDANCE; ECOLOGY</t>
  </si>
  <si>
    <t>In 2003 a partial bison skull was recovered by Ashley National Forest archaeologists from an elevation of 3840 In (12,600 ft) above mean sea level on Gilbert Peak in the Uinta Mountains of Utah. The skull consists of a portion of the frontal, occipital region, and horn cores including horn sheaths. Through the analysis of the individual cones of the horn sheath, a record of the animal's dietary and migration patterns were obtained. While high-altitude bison remains have been discussed in the scientific literature periodically, they have not gone beyond the descriptive. In addition to descriptive and metric analysis of the skull, radiometric assay and stable isotope analyses were applied. The radiocarbon age of the specimen is 150 +/- 40 yr BP (cal. A.D. 1725-1778). Metric analysis of the skull indicates it was an older adult male, which compares well with Bison bison athabascae (wood bison) in size and is larger than either Bison bison bison (plains bison) specimens or other high-altitude bison. However, it is probable this individual represents a member of the species Bison bison bison, but phenotypic characteristics (e.g., large horn size) may be the result of gene flow. More definitive taxonomic placement of the Gilbert Peak bison may not be resolved without genetic analysis.</t>
  </si>
  <si>
    <t>Midw Archaeol Ctr, Lincoln, NE 68508 USA; Univ Nebraska, Dept Geog &amp; Anthropol, Lincoln, NE 68588 USA</t>
  </si>
  <si>
    <t>University of Nebraska System; University of Nebraska Lincoln</t>
  </si>
  <si>
    <t>Cannon, KP (corresponding author), Midw Archaeol Ctr, Fed Bldg Room 474,100 Centennial Mall N, Lincoln, NE 68508 USA.</t>
  </si>
  <si>
    <t>ken_cannon@nps.gov</t>
  </si>
  <si>
    <t>10.1657/1523-0430(2007)39[44:TWAHAT]2.0.CO;2</t>
  </si>
  <si>
    <t>WOS:000244658600007</t>
  </si>
  <si>
    <t>Dona, AJ; Galen, C</t>
  </si>
  <si>
    <t>Dona, Amy J.; Galen, Candace</t>
  </si>
  <si>
    <t>Nurse effects of alpine willows (Salix) enhance over-winter survival at the upper range limit of fireweed, Chamerion angustifolium</t>
  </si>
  <si>
    <t>PLANT AZORELLA-MONANTHA; EPILOBIUM-ANGUSTIFOLIUM; POSITIVE INTERACTIONS; WATER RELATIONS; CLIMATE-CHANGE; VEGETATION; TUNDRA; ASSOCIATIONS; FACILITATION; COLORADO</t>
  </si>
  <si>
    <t>Shrubs may act as nurse plants by facilitating the establishment and/or survival of under-story herbaceous plants under stressful conditions. Such interactions may promote the movement of montane species into alpine plant communities. We studied potential nurse effects of alpine willow shrubs (Salix spp.) on fireweed (Chamerion angustifolium) at three life history stages: seed, established seedling, and adult. Mechanisms for nurse effects were assessed at each stage by placing transplants into modified microsites containing shade and wind protection, as well as into unmanipulated microsites in open meadow and willow under-story habitats. Seedling establishment occurred only under the willow canopy and even there was extremely rare. Willows and experimental microcosms that simultaneously increased shade and reduced wind velocity strongly promoted over-winter survival of established seedlings and adults. All adult transplants surviving over the winter persisted over the subsequent growing season. For seedling transplants, extremely high mortality in exposed plots over the winter limited our power to experimentally detect nurse effects during the next growing season. Results suggest that by promoting persistent snow cover over the winter, willows enhance survival of fireweed at its upper range limit, potentially favoring its spread into alpine habitats.</t>
  </si>
  <si>
    <t>Univ Missouri, Div Biol Sci, Columbia, MO 65211 USA</t>
  </si>
  <si>
    <t>University of Missouri System; University of Missouri Columbia</t>
  </si>
  <si>
    <t>Galen, C (corresponding author), NYU, Environm Law Jouranal, 110 W 3rd St,Subbasement, New York, NY 10012 USA.</t>
  </si>
  <si>
    <t>galenc@missouri.edu</t>
  </si>
  <si>
    <t>10.1657/1523-0430(2007)39[57:NEOAWS]2.0.CO;2</t>
  </si>
  <si>
    <t>WOS:000244658600008</t>
  </si>
  <si>
    <t>Hoham, RW; Filbin, RW; Rey, FM; Pusack, TJ; Ryba, JB; McDermott, PD; Fields, RA</t>
  </si>
  <si>
    <t>Hoham, Ronald W.; Filbin, Robert W.; Rey, Frank M.; Pusack, Timothy J.; Ryba, Jeffrey B.; McDermott, Patrick D.; Fields, Ryan A.</t>
  </si>
  <si>
    <t>The optimum pH of the green snow algae, Chloromonas tughillensis and Chloromonas chenangoensis, from Upstate New York</t>
  </si>
  <si>
    <t>COMB-NOV CHLOROPHYTA; CONTINENTAL ANTARCTICA; WINDMILL ISLANDS; LIFE-HISTORY; SP.-D; VOLVOCALES; GROWTH; ECOLOGY; TRANSPORT; SURVIVAL</t>
  </si>
  <si>
    <t>The optimum pH of two species of snow algae from Upstate New York were assessed by studying three axenic strains of Chloromonas tughillensis in a pH range of 3.0-7.0 and three non-axenic strains of Cr. chenangoensis in a pH range of 3.0-8.0. Growth was examined at 0.5 pH intervals. Cell counts at the termination of the experiments differed among strains and among pH intervals in individual strains for both species, and strains of Cr. tughillensis responded differently to changes in pH (p &lt; 0.001) while strains of Cr. chenangoensis did not (p = 0.193). Cell counts and absorbance data for Cr. tughillensis indicated an optimum pH of 4.9-6.1 using regression analysis. Strains of Cr. chenangoensis exhibited higher but insignificantly different counts between pH 7.0 and 8.0 with maxima at pH 7.5, but pH optima were not determined. When the range was expanded to include pH 8.5-9.0, an optimal pH of 7.0-8.0 was determined for strain CU 722B, and this is the first snow alga reported to have an optimum alkaline pH. The highest absorbance values, however, occurred between pH 3.0-4.5 and pH 7.0-8.0. The pH values recorded in the field were 5.0- 5.3 for Cr. tughillensis and 6.7-7.6 for Cr chenangoensis.</t>
  </si>
  <si>
    <t>Colgate Univ, Dept Biol, Hamilton, NY 13346 USA</t>
  </si>
  <si>
    <t>Colgate University</t>
  </si>
  <si>
    <t>Hoham, RW (corresponding author), Colgate Univ, Dept Biol, Hamilton, NY 13346 USA.</t>
  </si>
  <si>
    <t>rhoham@mail.colgate.edu</t>
  </si>
  <si>
    <t>10.1657/1523-0430(2007)39[65:TOPOTG]2.0.CO;2</t>
  </si>
  <si>
    <t>WOS:000244658600009</t>
  </si>
  <si>
    <t>Janke, JR</t>
  </si>
  <si>
    <t>Janke, Jason R.</t>
  </si>
  <si>
    <t>Colorado Front Range rock glaciers: Distribution and topographic characteristics</t>
  </si>
  <si>
    <t>GALENA CREEK; ABSAROKA MOUNTAINS; ARAPAHO; ALASKA</t>
  </si>
  <si>
    <t>In the Colorado Front Range, rock glacier distribution has been noted on U.S. Geological Survey maps and in several publications; however, a comprehensive account of distribution is not available. When analyzed in a Geographic Information System (GIS), Digital Elevation Model variables (elevation, slope, or aspect) could reveal unique topographic characteristics of rock glaciers. The objectives of this study are to provide an accurate, complete account of rock glacier locations in a digital format, to compare topographic variables of rock glacier form and activity classes, and to evaluate glacier and rock glacier topographic information. Rock glacier locations were obtained from previous studies and were re-digitized on high-resolution digital orthophotos. Glacier distribution was determined through classification of a satellite image. Topographic information for rock glacier form and activity classes as well as for glaciers was obtained through zonal overlay in a GIS. Results indicate that tongue-shaped rock glaciers occur at higher elevations, have more northerly aspects, and have gentler slopes compared to lobate rock glaciers. Active, inactive, and fossil forms showed typical elevation and aspect gradients. Active rock glaciers are found at the highest elevations and most northern aspects. Inactive rock glaciers are found at lower elevations on all aspects with a tendency to face northeast, and fossil rock glaciers occur at the lowest elevations on all aspects. Topographic variables for all rock glaciers were statistically different compared to glacier locations; however, active tongue-shaped rock glaciers had similar topographic variables compared to glaciers, but lobate forms showed a significant difference. In the Front Range, active tongue-shaped rock glaciers are developed by glacial processes and active lobate forms are the product of periglacial processes.</t>
  </si>
  <si>
    <t>Metropolitan State Coll, Dept Earth &amp; Atmospher Sci, Denver, CO 80217 USA</t>
  </si>
  <si>
    <t>Janke, JR (corresponding author), Metropolitan State Coll, Dept Earth &amp; Atmospher Sci, Campus Box 22,POB 173362, Denver, CO 80217 USA.</t>
  </si>
  <si>
    <t>jjanke1@mscd.edu</t>
  </si>
  <si>
    <t>Janke, Jason R/K-3145-2012</t>
  </si>
  <si>
    <t>10.1657/1523-0430(2007)39[74:CFRRGD]2.0.CO;2</t>
  </si>
  <si>
    <t>WOS:000244658600010</t>
  </si>
  <si>
    <t>Keller, K; Blum, JD; Kling, GW</t>
  </si>
  <si>
    <t>Keller, Katy; Blum, Joel D.; Kling, George W.</t>
  </si>
  <si>
    <t>Geochemistry of soils and streams on surfaces of varying ages in arctic Alaska</t>
  </si>
  <si>
    <t>NORTHERN ALASKA; BROOKS RANGE; RIVER-BASIN; TUNDRA; WATER; BIOGEOCHEMISTRY; TEMPERATURE; SEDIMENTS; MERCURY; RATES</t>
  </si>
  <si>
    <t>Climate change may bring about geochemical changes in arctic regions as a result of increasing thaw depth. In order to better understand current watershed geochemistry and mineral weathering and provide a basis for predicting the geochemical effects of active-layer thickness increase, we examined elemental chemistry and Sr-87/Sr-86 of streams and sequential and total digests of soils, permafrost, and soil parent materials from seven glacial deposit surfaces of varying geomorphic ages in arctic Alaska in the vicinity of the Philip Smith Mountains quadrangle (69 degrees N, 150 degrees W). We found overall greater exchangeable K concentrations, exchangeable and acid digestible P and Ca concentrations, acid digestible and total Ca/Na and Ca/Sr, and lower acid digestible Sr-87/Sr-86 in permafrost than in active-layer mineral soil. Of the surfaces with similar parent material, stream and soil data suggest that weathering has progressively depleted calcium carbonate in the active layer with increasing surface age. Our results suggest that increasing thaw depth will lead to increasing carbonate and Ca supply to soils and streams, as well as spatially variable increases in P and K supply. Geochemical differences between active-layer soil and permafrost suggest the possibility of using stream geochemistry to detect changes in active-layer thickness in watersheds.</t>
  </si>
  <si>
    <t>Univ Michigan, Dept Geol Sci, Ann Arbor, MI 48109 USA; Univ Michigan, Dept Ecol &amp; Evolutionary Biol, Ann Arbor, MI 48109 USA</t>
  </si>
  <si>
    <t>University of Michigan System; University of Michigan; University of Michigan System; University of Michigan</t>
  </si>
  <si>
    <t>Keller, K (corresponding author), Univ Michigan, Dept Geol Sci, 1100 N Univ Ave, Ann Arbor, MI 48109 USA.</t>
  </si>
  <si>
    <t>kateak@umich.edu</t>
  </si>
  <si>
    <t>Kling, George/C-7867-2015</t>
  </si>
  <si>
    <t>Kling, George/0000-0002-6349-8227</t>
  </si>
  <si>
    <t>10.1657/1523-0430(2007)39[84:GOSASO]2.0.CO;2</t>
  </si>
  <si>
    <t>WOS:000244658600011</t>
  </si>
  <si>
    <t>Kokelj, SV; Burn, CR; Tarnocai, C</t>
  </si>
  <si>
    <t>Kokelj, S. V.; Burn, C. R.; Tarnocai, C.</t>
  </si>
  <si>
    <t>The structure and dynamics of earth hummocks in the subarctic forest near Inuvik, Northwest Territories, Canada</t>
  </si>
  <si>
    <t>NEAR-SURFACE PERMAFROST; ACTIVE-LAYER; MACKENZIE DELTA; COAST; ICE; VEGETATION; RECOVERY; SOILS</t>
  </si>
  <si>
    <t>Surface microrelief, permafrost table configuration, ground-ice, and soil organic-matter contents are described for three sites near Inuvik, N.W.T., that are characterized by collapsed, poorly developed, and well-developed earth hummocks, respectively. The diameters of collapsed earth hummocks were significantly greater than those of well-developed vegetated hummocks. Hummock relief and inter-hummock distance increased along the continuum of forms, with the widest spacing and greatest relief measured at the site with well-developed vegetated hummocks. A bowl-shaped permafrost table mirrored the surface relief of most hummocks but the, collapsed hummocks were underlain by a planar or domed permafrost table. Segregated ice lenses parallel to the permafrost table, and small bodies of intrusive ice, were observed beneath the developing and well-developed hummocks. The configuration of the permafrost table and hummock relief, long-term observations of active-layer and hummock change, and hummock response to surface manipulation indicate that formation of a bowl-shaped permafrost table in association with organic accumulation and development of near-surface ground ice thrusts soils inward and upward causing hummock growth, whereas thaw subsidence may cause outward spreading and hummock collapse. Reaction-wood rings in black spruce trees growing on hummocky terrain indicate that tree tilting was associated with active-layer thinning and hummock growth. Cessation of reaction wood coincided with a period of active-layer deepening, degradation of ground ice, and outward spreading of the hummocks. In subarctic forests, hummock dynamics may be driven by ecological change associated with the fire cycle or climate change.</t>
  </si>
  <si>
    <t>Indian &amp; No Affairs Canada, Div Water Resources, Yellowknife, NT X1A 2R3, Canada; Carleton Univ, Dept Geog &amp; Environm Studies, Ottawa, ON K1S 5B6, Canada; Agr &amp; Agri Food Canada, Res Branch, Ottawa, ON K1A 0C6, Canada</t>
  </si>
  <si>
    <t>Carleton University; Agriculture &amp; Agri Food Canada</t>
  </si>
  <si>
    <t>Kokelj, SV (corresponding author), Indian &amp; No Affairs Canada, Div Water Resources, 3rd Floor Bellanca Bldg,POB 1500, Yellowknife, NT X1A 2R3, Canada.</t>
  </si>
  <si>
    <t>kokeljsv@inac-ainc.gc.ca</t>
  </si>
  <si>
    <t>10.1657/1523-0430(2007)39[99:TSADOE]2.0.CO;2</t>
  </si>
  <si>
    <t>WOS:000244658600012</t>
  </si>
  <si>
    <t>Lara, N; Sassi, P; Borghi, CE</t>
  </si>
  <si>
    <t>Lara, Natalia; Sassi, Paola; Borghi, Carlos E.</t>
  </si>
  <si>
    <t>Effect of herbivory and disturbances by tuco-tucos (Ctenomys mendocinus) on a plant community in the southern Puna desert</t>
  </si>
  <si>
    <t>BELOW-GROUND HERBIVORY; POCKET GOPHERS GEOMYS; MONTE DESERT; THOMOMYS-TALPOIDES; SPANISH PYRENEES; MOLE-VOLES; ARGENTINA; VEGETATION; RODENT; SOIL</t>
  </si>
  <si>
    <t>We studied the differences between areas undisturbed and disturbed by Ctenomys in the structure, diversity, and composition of a Puna desert plant community. We also studied differences in nutrient distribution in the soil produced by the activity of tuco-tucos. Within the plant community, plant and soil samples were taken from different sites, and at each site, both disturbed and undisturbed areas were sampled. We hypothesized that the activity of this rodent affected plant community structure, specific composition, diversity, and nutrient distribution (N, K, and P). Results at the plant population and community level and for soil nutrient concentration suggest that Ctenomys mendocinus could be a keystone species, capable of orienting the dynamics of the plant community studied in this ecosystem. Nevertheless, further manipulative experiments are necessary to confirm that the differences found between disturbed and undisturbed areas are indeed caused by the activity of Ctenomys.</t>
  </si>
  <si>
    <t>Univ Nacl San Juan, Dept Biol, Fac Ciencias Exactas &amp; Nat, San Juan, Argentina; Consejo Nacl Invest Cient &amp; Tecn, IADIZA, Grp Invest Biodivers, RA-5500 Mendoza, Argentina</t>
  </si>
  <si>
    <t>Universidad Nacional de San Juan; Consejo Nacional de Investigaciones Cientificas y Tecnicas (CONICET)</t>
  </si>
  <si>
    <t>Borghi, CE (corresponding author), Univ Nacl San Juan, Dept Biol, Fac Ciencias Exactas &amp; Nat, San Juan, Argentina.</t>
  </si>
  <si>
    <t>cborghi@lab.cricyt.edu.ar</t>
  </si>
  <si>
    <t>Borghi, Carlos Eduardo/0000-0002-3726-6000</t>
  </si>
  <si>
    <t>10.1657/1523-0430(2007)39[110:EOHADB]2.0.CO;2</t>
  </si>
  <si>
    <t>WOS:000244658600013</t>
  </si>
  <si>
    <t>Luoto, M</t>
  </si>
  <si>
    <t>Luoto, Miska</t>
  </si>
  <si>
    <t>New insights into factors controlling drainage density in subarctic landscapes</t>
  </si>
  <si>
    <t>FINNISH LAPLAND; CONSERVATION BIOLOGY; REGRESSION; HABITAT; CLIMATE; MODELS; PATTERNS; ECOLOGY; SYSTEMS; SCALE</t>
  </si>
  <si>
    <t>Fluvial processes play a crucial role in landscape development in periglacial regions. Geomorphological studies have yielded contrasting inferences about the importance of various environmental factors to drainage density. In this paper, 12 explanatory variables, based on relief, vegetation, soil, and rock type, were used to explain the controlling factors of drainage density in an area of 2880 km(2) subarctic Finland. Analyses were performed at multiple spatial scales (1, 4, 16, and 64 km(2)) based on two novel statistical methods, namely generalized linear modeling (GLM) and hierarchical partitioning (HP). The results of the GLM and HP analyses were broadly concordant. Most of the variation in drainage density can be explained by soil and vegetation variables. Drainage density increased with proportion of rock and gravel soils and alpine vegetation, and decreased with peat cover. Variables based on topography and rock type explained only a small amount of the variation in drainage density. The results also confirm the profound influence of the spatial scale on the geomorphologic systems: factors influencing drainage density yield different results depending on the spatial scale at which drainage density is analyzed. The large data sets and the use of rigorous statistical techniques at four different scales add the confidence and generality for the present results.</t>
  </si>
  <si>
    <t>Finnish Environm Inst, Dept Res, Res Programme Biodivers, FIN-00251 Helsinki, Finland</t>
  </si>
  <si>
    <t>Finnish Environment Institute</t>
  </si>
  <si>
    <t>Luoto, M (corresponding author), Univ Oulu, Thule Inst, POB 7300, FIN-90014 Oulu, Finland.</t>
  </si>
  <si>
    <t>miska.luoto@oulu.fi</t>
  </si>
  <si>
    <t>Luoto, Miska/E-6693-2014</t>
  </si>
  <si>
    <t>Luoto, Miska/0000-0001-6203-5143</t>
  </si>
  <si>
    <t>10.1657/1523-0430(2007)39[117:NIIFCD]2.0.CO;2</t>
  </si>
  <si>
    <t>WOS:000244658600014</t>
  </si>
  <si>
    <t>Refsnider, KA; Brugger, KA</t>
  </si>
  <si>
    <t>Refsnider, Kurt A.; Brugger, Keith A.</t>
  </si>
  <si>
    <t>Rock glaciers in central Colorado, USA, as indicators of Holocene climate change</t>
  </si>
  <si>
    <t>LATE-PLEISTOCENE; DATING TECHNIQUES; WESTERN TYROL; SIERRA-NEVADA; SOUTHERN ALPS; GALENA CREEK; MOUNTAINS; FLUCTUATIONS; CALIFORNIA; RECORD</t>
  </si>
  <si>
    <t>We measured thalli diameters of the lichen Rhizocarpon subgenus Rhizocarpon on 48 individual lobes of 18 rock glaciers and rock glacier complexes in the Elk Mountains and Sawatch Range of central Colorado. Cumulative probability distribution and K-means clustering analyses were used to separate lichen thalli measurements into statistically distinct groups, each interpreted as representing a discrete episode of rock glacier activity driven by an interval of cooler climate. Lichen ages for these episodes were assigned using a growth curve developed for Rhizocarpon geographicum in the nearby Front Range. An early Neoglacial episode, ca. 3080 yr BP, is correlative to other glacial and periglacial activity in the southern Rocky Mountains and surrounding areas and broadly corresponds to an interval of climatic deterioration evident in several other proxies of Holocene climate. The younger two episodes, ca. 2070 and 1150 yr BP, are also coeval with regional (Audubon) glacial and periglacial activity but are thus far not widely recognized in other climate proxies.</t>
  </si>
  <si>
    <t>Univ Minnesota, Geol Discipline, Morris, MN 56267 USA</t>
  </si>
  <si>
    <t>University of Minnesota System; University of Minnesota Morris</t>
  </si>
  <si>
    <t>Refsnider, KA (corresponding author), Univ Colorado, Inst Arctic &amp; Alpine Res, 1560 30th St, Boulder, CO 80309 USA.</t>
  </si>
  <si>
    <t>Kurt.Refsnider@colorado.edu</t>
  </si>
  <si>
    <t>10.1657/1523-0430(2007)39[127:RGICCU]2.0.CO;2</t>
  </si>
  <si>
    <t>WOS:000244658600015</t>
  </si>
  <si>
    <t>Shapiro, AM; Forister, ML; Fordyce, JA</t>
  </si>
  <si>
    <t>Shapiro, Arthur M.; Forister, Matthew L.; Fordyce, James A.</t>
  </si>
  <si>
    <t>Extreme high-altitude Asian and Andean pierid butterflies are not each others' closest relatives</t>
  </si>
  <si>
    <t>MITOCHONDRIAL-DNA; PHYLOGENY</t>
  </si>
  <si>
    <t>Some of the world's highest-altitude butterflies belong to the tribe Pierini of the family Pieridae. Two nominal species of Baltia occur in arid-semiarid oreal environments in Central Asia, the Himalaya, and Pamir to over 5500 m. At least 13 species currently placed in four genera (Phulia, Infraphulia, Pierphulia, Piercolias) occur in similar environments at similar altitudes in the high Andes. These genera all share numerous morphospecializations whose functional relation to the oreal environment is not understood. Their evolutionary and biogeographic relationships have been debated for over a century. We performed a phylogenetic analysis based on sequencing portions of the mitochondrial cytochrome oxidase subunit I and subunit 11 regions (COI and COII), incorporating all the genera but Piercolias and a variety of suspected relatives. The results from analyses of COI and COII were compared to relationships inferred from morphological and ecological characters. We conclude that Baltia is not the sister-group of the Andean genera, which are clearly nested within a Neotropical clade. The Camelid scenario deriving all the genera from a common ancestor no longer appears viable.</t>
  </si>
  <si>
    <t>Univ Calif Davis, Ctr Populat Biol, Davis, CA 95616 USA; SUNY Stony Brook, Dept Ecol &amp; Evolut, Stony Brook, NY 11794 USA; Univ Tennessee, Dept Ecol &amp; Evolutionary Biol, Knoxville, TN 37996 USA</t>
  </si>
  <si>
    <t>University of California System; University of California Davis; State University of New York (SUNY) System; State University of New York (SUNY) Stony Brook; University of Tennessee System; University of Tennessee Knoxville</t>
  </si>
  <si>
    <t>Shapiro, AM (corresponding author), Univ Calif Davis, Ctr Populat Biol, Davis, CA 95616 USA.</t>
  </si>
  <si>
    <t>amshapiro@ucdavis.edu; forister@life.bio.sunysb.edu; jfordyce@utk.edu</t>
  </si>
  <si>
    <t>Fordyce, James/0000-0002-2731-0418</t>
  </si>
  <si>
    <t>10.1657/1523-0430(2007)39[137:EHAAAP]2.0.CO;2</t>
  </si>
  <si>
    <t>WOS:000244658600016</t>
  </si>
  <si>
    <t>Smykla, J; Wolek, J; Barcikowski, A</t>
  </si>
  <si>
    <t>Smykla, Jerzy; Wolek, Jerzy; Barcikowski, Adam</t>
  </si>
  <si>
    <t>Zonation of vegetation related to penguin rookeries on King George Island, Maritime Antarctic</t>
  </si>
  <si>
    <t>PLANT; NUTRIENTS; COMMUNITIES; ECOSYSTEMS; ABUNDANCE; NITROGEN</t>
  </si>
  <si>
    <t>Breeding penguins are the major source of nutrients for terrestrial ecosystems in the Maritime Antarctic. The impact of penguin rookeries on vegetation patterns and diversity was examined by descriptive and quantitative methods along a transect from penguin rookeries to areas distant from penguin impact. Several vegetation zones related to varying degrees of rookery impact have been recognized: (1) areas under the immediate influence of fresh penguin guano and trampling support little or no vegetation; (2) the adjacent zone is covered with nitrophilous green algae, locally also cyanobacteria; (3) the next zone is dominated by the Antarctic hair-grass; (4) further on, a zone dominated by mosses is formed; (5) finally, the zone least affected by penguin impact is dominated by lichens. With increasing distance from penguin rookeries, vegetation zones become less distinct and more complex; along consecutive zones vegetation richness and diversity increase and dominance decreases. Change in species composition is gradual with a broad overlap of species distributions, and the distinct zones are the result of differences in life-forms and growth-forms of the dominant species. This ecological gradient, comprising a few species and being relatively simple, offers unique opportunities to study hypotheses concerning ecological processes and patterns.</t>
  </si>
  <si>
    <t>Polish Acad Sci, Dept Biodivers, Inst Nat Conservat, PL-31120 Krakow, Poland; Pedagog Univ Cracow, Inst Biol, PL-31054 Krakow, Poland; Nicholas Copernicus Univ, Inst Ecol &amp; Environm Protect, PL-87100 Torun, Poland; Polish Acad Sci, Dept Antarctic Biol, PL-02141 Warsaw, Poland</t>
  </si>
  <si>
    <t>Polish Academy of Sciences; Pedagogical University of Cracow; Nicolaus Copernicus University; Polish Academy of Sciences</t>
  </si>
  <si>
    <t>Smykla, J (corresponding author), Polish Acad Sci, Dept Biodivers, Inst Nat Conservat, Al Mickiewicza 33, PL-31120 Krakow, Poland.</t>
  </si>
  <si>
    <t>smykla@iop.krakow.pl</t>
  </si>
  <si>
    <t>Smykla, Jerzy/N-3288-2014</t>
  </si>
  <si>
    <t>Smykla, Jerzy/0000-0001-8228-6695</t>
  </si>
  <si>
    <t>10.1657/1523-0430(2007)39[143:ZOVRTP]2.0.CO;2</t>
  </si>
  <si>
    <t>WOS:000244658600017</t>
  </si>
  <si>
    <t>Ueno, K; Tanaka, K; Tsutsui, H; Li, MS</t>
  </si>
  <si>
    <t>Ueno, Kenichi; Tanaka, Kenji; Tsutsui, Hiroyuki; Li, Maoshan</t>
  </si>
  <si>
    <t>Snow cover conditions in the Tibetan Plateau observed during the winter of 2003/2004</t>
  </si>
  <si>
    <t>ENERGY</t>
  </si>
  <si>
    <t>Surface conditions in the non-mountainous areas of the central Tibetan Plateau were measured in a field survey in February 2004, and water balance parameters such as precipitation, sublimation, and water equivalent of snow cover were examined through the 2003/2004 winter by in situ automated measurements. Snow cover was shallow and coexisted with snow-free areas, producing large surface temperature heterogeneity under strong insolation. Clear diurnal variation was found in the meteorological observation. The precipitation and total sublimation from November 2003 to January 2004 were estimated as 15 mm and 17 mm, respectively, and the remaining equivalent snow water quantity in the beginning of February 2004 was 8 mm. Imbalance of the water budget was mainly due to the uncertainty of snow cover proportion within the mesoscale area. Importance of a redistribution process of the snow was proposed to explain the consistency of surface heating and remaining snow cover.</t>
  </si>
  <si>
    <t>Univ Tsukuba, Grad Sch Life &amp; Environm Sci, Tsukuba, Ibaraki 3058572, Japan; Kumamoto Univ, Dept Civil Engn, Kumamoto 8608555, Japan; Univ Tokyo, Dept Civil Engn, Bunkyo Ku, Tokyo 1138656, Japan; Chinese Acad Sci, Cold &amp; Arid Environm &amp; Engn Res Inst, Lanzhou 730000, Peoples R China</t>
  </si>
  <si>
    <t>University of Tsukuba; Kumamoto University; University of Tokyo; Chinese Academy of Sciences; Cold &amp; Arid Regions Environmental &amp; Engineering Research Institute, CAS</t>
  </si>
  <si>
    <t>Ueno, K (corresponding author), Univ Tsukuba, Grad Sch Life &amp; Environm Sci, Tennoudai 1-1-1, Tsukuba, Ibaraki 3058572, Japan.</t>
  </si>
  <si>
    <t>kenueno@sakura.cc.tsukuba.ac.jp</t>
  </si>
  <si>
    <t>Ueno, Kenichi/B-3154-2014</t>
  </si>
  <si>
    <t>Ueno, Kenichi/0000-0002-6612-4984</t>
  </si>
  <si>
    <t>10.1657/1523-0430(2007)39[152:SCCITT]2.0.CO;2</t>
  </si>
  <si>
    <t>WOS:000244658600018</t>
  </si>
  <si>
    <t>Wenk, EH; Dawson, TE</t>
  </si>
  <si>
    <t>Wenk, Elizabeth H.; Dawson, Todd E.</t>
  </si>
  <si>
    <t>Interspecific differences in seed germination, establishment, and early growth in relation to preferred soil type in an alpine community</t>
  </si>
  <si>
    <t>EDAPHIC ECOTYPES; CALCIFUGE HABIT; SUB-ALPINE; PLANT; SURVIVAL; CALCIUM</t>
  </si>
  <si>
    <t>Species distributions may be limited by substrate boundaries due to constraints at either the germination or seedling establishment life history stages. In a community of alpine tundra plants from the Sierra Nevada, some species are widespread, occurring across all four substrates studied: diorite, granite, hornfels, and marble. Other species are restricted to fewer soil types. We collected seeds from 12 species and performed a reciprocal transplant experiment in growth chambers using native soils. Eleven species germinated and established equally well across all soil types, indicating substrate chemistry did not alone determine species field distributions. However, two patterns emerged that may contribute to our understanding of species composition and dominance across substrates. First, species more dominant on the drier substrates reached at least half their total germination within two weeks of planting. Species more dominant on the wetter substrates required a longer period in wet soil to germinate. Second, there is a strong correlation between species relative abundance and percent germination, indicating that high percent germination may contribute to some species' dominance. To determine the influence of soil type on plant size, a subset of species were grown for more time. All species were larger on hornfels and marble than on granite and diorite, indicating that species have the highest growth on the most nutrient-rich soils, rather than on their native soils. Taken together, these data suggest that water may be the limiting factor for species germination, and the differential nutrient availability across soil types has a strong influence on early seedling growth.</t>
  </si>
  <si>
    <t>Univ Calif Berkeley, Ctr Stable Isotope Biogeochem, Dept Integrat Biol, Berkeley, CA 94720 USA</t>
  </si>
  <si>
    <t>University of California System; University of California Berkeley</t>
  </si>
  <si>
    <t>Wenk, EH (corresponding author), Univ Calif Berkeley, Ctr Stable Isotope Biogeochem, Dept Integrat Biol, 3060 Valley Life Sci Bldg, Berkeley, CA 94720 USA.</t>
  </si>
  <si>
    <t>ehwenk@gmail.com; dawson@calmail.berkeley.edu</t>
  </si>
  <si>
    <t>Wenk, Elizabeth/JWP-3403-2024</t>
  </si>
  <si>
    <t>10.1657/1523-0430(2007)39[165:IDISGE]2.0.CO;2</t>
  </si>
  <si>
    <t>WOS:000244658600019</t>
  </si>
  <si>
    <t>Willard, BE; Cooper, DJ; Forbes, BC</t>
  </si>
  <si>
    <t>Willard, Beatrice E.; Cooper, David J.; Forbes, Bruce C.</t>
  </si>
  <si>
    <t>Natural regeneration of alpine tundra vegetation after human trampling: A 42-year data set from Rocky Mountain National Park, Colorado, USA</t>
  </si>
  <si>
    <t>DISTURBANCE; RECOVERY</t>
  </si>
  <si>
    <t>The vegetation composition of four contiguous permanent plots was analyzed during 37 of 42 years between 1959 and 2001 to evaluate successional processes following the cessation of human trampling in alpine tundra. The plots were established adjacent to the Rock Cut parking lot at similar to 3658 m elevation along Trail Ridge Road in Rocky Mountain National Park, Colorado. Due to limitations in the original study design, the lack of true replication required that the plots be treated individually when subject to indirect ordination analysis to follow trends in overall plant composition and cover. The three most abundant species in the study plots were Artemisia scopulorum, Acomastylis rossii, and Kobresia myosuroides. At the beginning of the study in 1959, total cover ranged from 20 to 55% in the four plots. By 1961, three of the four plots achieved total canopy cover values of at least 100%. Vascular plant species richness (number of taxa per plot) averaged 20 in 1959, but by 1967 had nearly doubled to 37. During the first several years, rates of seedling emergence were high among most taxa with the notable exceptions of K myosuroides and A. rossii. However, likely due to desiccation and needle ice, seedling mortality was high. K myosuroides spread exclusively from remnant tufts, as did three species of cushion plants which survived the trampling. The overall decline in plant cover during the last two decades of this study, particularly for K myosuroides, indicates that long-term unassisted regeneration of severely degraded alpine tundra sites will take more than a century. While there have been periods of plant colonization and spread, climate factors such as a series of heavy snow years, and unchecked soil erosion from trails, can limit plant establishment and stop the recovery process, or push the recovery back by several decades. The negative influence of soil erosion, and quite possibly additional trampling, over a significant portion of the study plot points to the critical importance of using extreme care when establishing long-term monitoring plots, particularly in high-use areas.</t>
  </si>
  <si>
    <t>Colorado State Univ, Dept Forest Rangeland &amp; Watershed Stewardship, Ft Collins, CO 80523 USA; Univ Lapland, Arctic Ctr, FIN-96101 Rovaniemi, Finland</t>
  </si>
  <si>
    <t>Colorado State University; University of Lapland</t>
  </si>
  <si>
    <t>DavidC@cnr.colostate.edu; BForbes@ulapland.fi</t>
  </si>
  <si>
    <t>Forbes, Bruce C./L-4431-2013</t>
  </si>
  <si>
    <t>Forbes, Bruce C./0000-0002-4593-5083</t>
  </si>
  <si>
    <t>10.1657/1523-0430(2007)39[177:NROATV]2.0.CO;2</t>
  </si>
  <si>
    <t>WOS:000244658600020</t>
  </si>
  <si>
    <t>Cockell, CS; Brack, A; Wynn-Williams, DD; Baglioni, P; Brandstätter, F; Demets, R; Edwards, HGM; Gronstal, AL; Kurat, G; Lee, P; Osinski, GR; Pearce, DA; Pillinger, JM; Roten, CA; Sancisi-Frey, S</t>
  </si>
  <si>
    <t>Cockell, Charles S.; Brack, Andre; Wynn-Williams, David D.; Baglioni, Pietro; Brandstaetter, Franz; Demets, Rene; Edwards, Howell G. M.; Gronstal, Aaron L.; Kurat, Gero; Lee, Pascal; Osinski, Gordon R.; Pearce, David A.; Pillinger, Judith M.; Roten, Claude-Alain; Sancisi-Frey, Suzy</t>
  </si>
  <si>
    <t>Interplanetary transfer of photosynthesis:: An experimental demonstration of a selective dispersal filter in planetary island biogeography</t>
  </si>
  <si>
    <t>microbe-mineral interactions; spacecraft experiments; Mars; panspermia; oxygenic photosynthesis</t>
  </si>
  <si>
    <t>BACILLUS-SUBTILIS SPORES; ATMOSPHERIC ENTRY; DEVON ISLAND; ENVIRONMENT; SPACE; MARS; CYANOBACTERIUM; RESISTANCE; ALGAE; LIGHT</t>
  </si>
  <si>
    <t>We launched a cryptoendolithic habitat, made of a gneissic impactite inoculated with Chroococcidiopsis sp., into Earth orbit. After orbiting the Earth for 16 days, the rock entered the Earth's atmosphere and was recovered in Kazakhstan. The heat of entry ablated and heated the rock to a temperature well above the. upper temperature limit for life to below the depth at which light levels are insufficient for photosynthetic organisms (similar to 5 mm), thus killing all of its photosynthetic inhabitants. This experiment shows that atmospheric transit acts as a strong biogeographical dispersal filter to the interplanetary transfer of photosynthesis. Following atmospheric entry we found that a transparent, glassy fusion crust had formed on the outside of the rock. Re-inoculated Chroococcidiopsis grew preferentially under the fusion crust in the relatively unaltered gneiss beneath. Organisms under the fusion grew approximately twice as fast as the organisms on the control rock. Thus, the biologically destructive effects of atmospheric transit can generate entirely novel and improved endolithic habitats for organisms on the destination planetary body that survive the dispersal filter. The experiment advances our understanding of how island biogeography works on the interplanetary scale.</t>
  </si>
  <si>
    <t>Open Univ, Ctr Earth Planetry Space &amp; Astron Res, Planetry &amp; Space Sci Res Inst, Milton Keynes MK7 6AA, Bucks, England; CNRS, Ctr Biophys Mol, F-45071 Orleans, France; British Antarctic Survey, Cambridge CB3 0ET, England; European Space Technol Ctr, NL-2200 AG Noordwijk, Netherlands; Nat Hist Museum, Vienna, Austria; Univ Bradford, Sch Life Sci, Bradford BD7 1DP, W Yorkshire, England; NASA, Ames Res Ctr, SETI Inst, Moffett Field, CA 94035 USA; Canadian Space Agcy, St Hubert, PQ, Canada; Fac Med, Inst Genet &amp; Biol Microbiennes, Lausanne, Switzerland</t>
  </si>
  <si>
    <t>Open University - UK; Centre National de la Recherche Scientifique (CNRS); UK Research &amp; Innovation (UKRI); Natural Environment Research Council (NERC); NERC British Antarctic Survey; European Space Agency; University of Bradford; National Aeronautics &amp; Space Administration (NASA); NASA Ames Research Center; Canadian Space Agency; University of Geneva</t>
  </si>
  <si>
    <t>Cockell, CS (corresponding author), Open Univ, Ctr Earth Planetry Space &amp; Astron Res, Planetry &amp; Space Sci Res Inst, Milton Keynes MK7 6AA, Bucks, England.</t>
  </si>
  <si>
    <t>c.s.cockell@open.ac.uk</t>
  </si>
  <si>
    <t>Pearce, David/0000-0001-5292-4596</t>
  </si>
  <si>
    <t>10.1089/ast.2006.0038</t>
  </si>
  <si>
    <t>157MT</t>
  </si>
  <si>
    <t>WOS:000245724900001</t>
  </si>
  <si>
    <t>Tarter, JC; Backus, PR; Mancinelli, RL; Aurnou, JM; Backman, DE; Basri, GS; Boss, AP; Clarke, A; Deming, D; Doyle, LR; Feigelson, ED; Freund, F; Grinspoon, DH; Haberle, RM; Hauck, SA; Heath, MJ; Henry, TJ; Hollingsworth, JL; Joshi, MM; Kilston, S; Liu, MC; Meikle, E; Reid, IN; Rothschild, LJ; Scalo, J; Segura, A; Tang, CM; Tiedje, JM; Turnbull, MC; Walkowicz, LM; Weber, AL; Young, RE</t>
  </si>
  <si>
    <t>Tarter, Jill C.; Backus, Peter R.; Mancinelli, Rocco L.; Aurnou, Jonathan M.; Backman, Dana E.; Basri, Gibor S.; Boss, Alan P.; Clarke, Andrew; Deming, Drake; Doyle, Laurance R.; Feigelson, Eric D.; Freund, Friedmann; Grinspoon, David H.; Haberle, Robert M.; Hauck, Steven A., II; Heath, Martin J.; Henry, Todd J.; Hollingsworth, Jeffery L.; Joshi, Manoj M.; Kilston, Steven; Liu, Michael C.; Meikle, Eric; Reid, I. Neill; Rothschild, Lynn J.; Scalo, John; Segura, Antigona; Tang, Carol M.; Tiedje, James M.; Turnbull, Margaret C.; Walkowicz, Lucianne M.; Weber, Arthur L.; Young, Richard E.</t>
  </si>
  <si>
    <t>A reappraisal of the habitability of planets around M dwarf stars</t>
  </si>
  <si>
    <t>planets; habitability; M dwarfs; stars</t>
  </si>
  <si>
    <t>EARTH-LIKE PLANETS; LOW MASS STARS; EJECTION CME ACTIVITY; SOLAR-TYPE STARS; COOL NEIGHBORS; NEARBY-STAR; SPECTROSCOPIC SURVEY; X-RAY; TERRESTRIAL EXOPLANETS; CHROMOSPHERIC ACTIVITY</t>
  </si>
  <si>
    <t>Stable, hydrogen-burning, M dwarf stars make up about 75% of all stars in the Galaxy. They are extremely long-lived, and because they are much smaller in mass than the Sun (between 0.5 and 0.08 M-sun), their temperature and stellar luminosity are low and peaked in the red. We have re-examined what is known at present about the potential for a terrestrial planet forming within, or migrating into, the classic liquid-surface-water habitable zone close to an M dwarf star. Observations of protoplanetary disks suggest that planet-building materials are common around M dwarfs, but N-body simulations differ in their estimations of the likelihood of potentially habitable, wet planets that reside within their habitable zones, which are only about one-fifth to 1/50(th) of the width of that for a G star. Particularly in light of the claimed detection of the planets with masses as small as 5.5 and 7.5 M-Earth orbiting M stars, there seems no reason to exclude the possibility of terrestrial planets. Tidally locked synchronous rotation within the narrow habitable zone does not necessarily lead to atmospheric collapse, and active stellar flaring may not be as much of an evolutionarily disadvantageous factor as has previously been supposed. We conclude that M dwarf stars may indeed be viable hosts for planets on which the origin and evolution of life can occur. A number of planetary processes such as cessation of geother mal activity or thermal and nonthermal atmospheric loss processes may limit the duration of planetary habitability to periods far shorter than the extreme lifetime of the M dwarf star. Nevertheless, it makes sense to include M dwarf stars in programs that seek to find habitable worlds and evidence of life. This paper presents the summary conclusions of an interdisciplinary workshop (http://mstars.seti.org) sponsored by the NASA Astrobiology Institute and convened at the SETI Institute.</t>
  </si>
  <si>
    <t>SETI Inst, Mountain View, CA 94043 USA; Univ Calif Los Angeles, Los Angeles, CA USA; Univ Calif Berkeley, Berkeley, CA 94720 USA; Carnegie Inst Sci, Washington, DC 20005 USA; British Antarctic Survey, Cambridge CB3 0ET, England; NASA, Goddard Space Flight Ctr, Greenbelt, MD 20771 USA; Penn State Univ, University Pk, PA 16802 USA; SW Res Inst, Boulder, CO USA; Ball Aerosp &amp; Technol Corp, Boulder, CO USA; NASA, Ames Res Ctr, Moffett Field, CA 94035 USA; Case Western Reserve Univ, Cleveland, OH 44106 USA; Ecospheres Project, Greenwich, England; Georgia State Univ, Atlanta, GA 30303 USA; UK Meteorol Off, Reading, Berks, England; Univ Hawaii, Honolulu, HI 96822 USA; Natl Ctr Sci Educ, Oakland, CA USA; Space Telescope Sci Inst, Baltimore, MD 21218 USA; Univ Texas, Austin, TX 78712 USA; CALTECH, Pasadena, CA 91125 USA; Calif Acad Sci, San Francisco, CA 94118 USA; Michigan State Univ, E Lansing, MI 48824 USA; Univ Washington, Seattle, WA 98195 USA</t>
  </si>
  <si>
    <t>University of California System; University of California Los Angeles; University of California System; University of California Berkeley; Carnegie Institution for Science; UK Research &amp; Innovation (UKRI); Natural Environment Research Council (NERC); NERC British Antarctic Survey; National Aeronautics &amp; Space Administration (NASA); NASA Goddard Space Flight Center; Pennsylvania Commonwealth System of Higher Education (PCSHE); Pennsylvania State University; Pennsylvania State University - University Park; Ball Aerospace &amp; Technologies; National Aeronautics &amp; Space Administration (NASA); NASA Ames Research Center; University System of Ohio; Case Western Reserve University; University System of Georgia; Georgia State University; Met Office - UK; University of Hawaii System; Space Telescope Science Institute; University of Texas System; University of Texas Austin; California Institute of Technology; California Academy of Sciences; Michigan State University; University of Washington; University of Washington Seattle</t>
  </si>
  <si>
    <t>Tarter, JC (corresponding author), SETI Inst, 515 N Whisman Rd, Mountain View, CA 94043 USA.</t>
  </si>
  <si>
    <t>tarter@seti.org</t>
  </si>
  <si>
    <t>Segura, Antígona/ABE-4086-2021; Hauck, Steven A/A-7865-2008; Mancinelli, Rocco/L-8971-2016; Basri, Gibor B/Y-4048-2018; Nucleares, Instituto/AAK-6270-2020; Joshi, Manoj/C-1795-2008</t>
  </si>
  <si>
    <t>Segura, Antígona/0000-0002-2240-2452; Hauck, Steven A/0000-0001-8245-146X; Joshi, Manoj/0000-0002-2948-2811; Liu, Michael C/0000-0003-2232-7664</t>
  </si>
  <si>
    <t>NERC [bas010013] Funding Source: UKRI; Natural Environment Research Council [ncas10009, bas010013] Funding Source: researchfish</t>
  </si>
  <si>
    <t>10.1089/ast.2006.0124</t>
  </si>
  <si>
    <t>WOS:000245724900004</t>
  </si>
  <si>
    <t>Abel, G; Wild, J; Denton, M</t>
  </si>
  <si>
    <t>Abel, Gary; Wild, James; Denton, Mick</t>
  </si>
  <si>
    <t>Taking issue with PPARC over STP</t>
  </si>
  <si>
    <t>ASTRONOMY &amp; GEOPHYSICS</t>
  </si>
  <si>
    <t>Following the PPARC programmatic review announced in the spring of last year, with its gloomy outlook for solar - terrestrial physics, three young scientists in the field mobilized the junior members of the STP community. Gary Abel, Jim Wild and Mick Denton tell the story which led to an unprecedented meeting of early-career scientists, followed by an informative meeting with PPARC chief executive Prof. Keith Mason.</t>
  </si>
  <si>
    <t>Abel, G (corresponding author), British Antarctic Survey, Cambridge CB3 0ET, England.</t>
  </si>
  <si>
    <t>gaab@bas.ac.uk</t>
  </si>
  <si>
    <t>Wild, James Anderson/HKN-7736-2023; Abel, Gary/ABE-1765-2021</t>
  </si>
  <si>
    <t>Wild, James Anderson/0000-0001-8025-8869; Abel, Gary/0000-0003-2231-5161</t>
  </si>
  <si>
    <t>1366-8781</t>
  </si>
  <si>
    <t>1468-4004</t>
  </si>
  <si>
    <t>ASTRON GEOPHYS</t>
  </si>
  <si>
    <t>Astron. Geophys.</t>
  </si>
  <si>
    <t>Astronomy &amp; Astrophysics; Geochemistry &amp; Geophysics</t>
  </si>
  <si>
    <t>130HF</t>
  </si>
  <si>
    <t>WOS:000243790000014</t>
  </si>
  <si>
    <t>Susini, S; De Donatis, M; Gallerini, G</t>
  </si>
  <si>
    <t>Susini, Sara; De Donatis, Mauro; Gallerini, Giuliano</t>
  </si>
  <si>
    <t>Continent-ocean boundary along the western sector of the South Scotia Ridge</t>
  </si>
  <si>
    <t>BOLLETTINO DELLA SOCIETA GEOLOGICA ITALIANA</t>
  </si>
  <si>
    <t>geological modelling; visualization seismic; reflection profiles; transform margin; South Scotia Ridge</t>
  </si>
  <si>
    <t>RELATIVE PLATE MOTIONS; ANTARCTIC PENINSULA; ORKNEY MICROCONTINENT; TECTONIC EVOLUTION; WEDDELL SEA; ATLANTIC; ARC; FRAGMENTATION; GONDWANALAND; GRAVITY</t>
  </si>
  <si>
    <t>The South Scotia Ridge (SSR) is a submerged structural high located at the eastern continuation of the Antarctic Peninsula and representing the Scotia-Antarctica transform plate boundary. A three-dimensional geological model of a sector of the SSR was built using reflection seismic and sea-floor bathymetry. The model covers the boundary between the oceanic crust of the Scotia Sea and the continental crust of the South Scotia Ridge, where the orientation of the SSR structure changes from SW-NE to W-E. Most of the active faults are located within the continental crust, however, deformation locally involves the oceanic crust and appears connected to the orientation and geometry of the fault system which defines the continent-ocean boundary. The 3D geological model helps visualize a western and central province where the active boundary involves continental blocks, the continental slope, the oceanic basement and sediments, and an eastern province where the sedimentary cover is not deformed and the oceanic basement dips underneath the continent. Moving from west to east, the NW-dipping main transtensional fault system becomes almost vertical in the central sector with an almost pure sinistral strike-slip movement. To the east, a south-dipping plane is progressively less inclined and changes orientation: here evidence of shortening is visible.</t>
  </si>
  <si>
    <t>Univ Urbino, LINEE, Lab Informat Technol Earth &amp; Environm Sci, I-61029 Urbino, Italy</t>
  </si>
  <si>
    <t>University of Urbino</t>
  </si>
  <si>
    <t>Susini, S (corresponding author), Univ Urbino, LINEE, Lab Informat Technol Earth &amp; Environm Sci, Campus Sci, I-61029 Urbino, Italy.</t>
  </si>
  <si>
    <t>susini@uniurb.it</t>
  </si>
  <si>
    <t>SOCIETA GEOLOGICA ITALIANA</t>
  </si>
  <si>
    <t>ROME</t>
  </si>
  <si>
    <t>UNIVERSITA DEGLI STUDI LA SAPIENZA, PIAZZALE ALDO MORO 5, ROME, 00185, ITALY</t>
  </si>
  <si>
    <t>0037-8763</t>
  </si>
  <si>
    <t>BOLL SOC GEOL ITAL</t>
  </si>
  <si>
    <t>Boll. Soc. Geol. Ital.</t>
  </si>
  <si>
    <t>149UE</t>
  </si>
  <si>
    <t>WOS:000245171500006</t>
  </si>
  <si>
    <t>Cheng, X; Li, XW; Shao, Y; Li, Z</t>
  </si>
  <si>
    <t>Cheng Xiao; Li XiaoWen; Shao Yun; Li Zhen</t>
  </si>
  <si>
    <t>DINSAR measurement of glacier motion in Antarctic Grove Mountain</t>
  </si>
  <si>
    <t>ice flow; differential SAR interferometry (DINSAR); ice sheet; Grove Mountain; Antarctica</t>
  </si>
  <si>
    <t>ICE-SHEET MOTION; SURFACE VELOCITY</t>
  </si>
  <si>
    <t>Grove Mountain is an important nunatak region on East Antarctic Glacier that blocks the ice flow toward Lambert Glacier. The existence of nunataks; and subglacial mountains leads to complex ice flow patterns, which are difficult to be measured by conventional ground-based methods. In this study, several JERS-1 and ERS-1/2 SAR images covering this area are used for 3-pass and 4-pass differential interferometric processing. The ice flow field of Grove Mountain and the eastern zone are derived and validated with related knowledge. The research shows that DINSAR is an effective method for measuring complex ice flow in Antarctic inland glacier. L-band DINSAR is more suitable for mid or fast ice flow than C-band over this region.</t>
  </si>
  <si>
    <t>Chinese Acad Sci, Inst Remote Sensing Applicat, State Key Lab Remote Sensing Sci, Beijing 100101, Peoples R China</t>
  </si>
  <si>
    <t>Chinese Academy of Sciences</t>
  </si>
  <si>
    <t>Cheng, X (corresponding author), Chinese Acad Sci, Inst Remote Sensing Applicat, State Key Lab Remote Sensing Sci, Beijing 100101, Peoples R China.</t>
  </si>
  <si>
    <t>xcheng@irsa.ac.cn</t>
  </si>
  <si>
    <t>10.1007/s11434-007-0054-y</t>
  </si>
  <si>
    <t>159DP</t>
  </si>
  <si>
    <t>WOS:000245845900010</t>
  </si>
  <si>
    <t>Yuan, XC; Yin, KD; Zhou, WH; Cao, WX; Xu, XQ; Zhao, D</t>
  </si>
  <si>
    <t>Yuan XiangCheng; Yin KeDong; Zhou WeiHua; Cao WenXi; Xu XiaoQiang; Zhao Di</t>
  </si>
  <si>
    <t>Effects of ultraviolet radiation B (UV-B) on photosynthesis of natural phytoplankton assemblages in a marine bay in southern China</t>
  </si>
  <si>
    <t>UVB inhibition; photosynthesis; carbon uptake; quantum yield; South China Sea</t>
  </si>
  <si>
    <t>BIOLOGICAL WEIGHTING FUNCTION; OZONE DEPLETION; QUANTUM YIELD; ANTARCTIC PHYTOPLANKTON; CARBON FIXATION; SHORT-TERM; INHIBITION; ABSORPTION; LIGHT; SEA</t>
  </si>
  <si>
    <t>Solar ultraviolet radiation B (UVB) is known to have inhibitive effects on phytoplankton photosynthesis. UVB light decreases rapidly with increasing depth in the water column and exerts different degrees of UVB inhibitive effects on phytoplankton photosynthesis. In this study, the objectives were to quantify effects of UVB on phytoplankton photosynthesis and quantum yield, and to examine UVB effects on phytoplankton photosynthesis when light varies. The in-situ experiments were conducted in Da Ya Bay, which is a semi-enclosed area in the subtropical South China. The results showed a significant reduction of photosynthetic rates and quantum yield in the presence of UVB. Maximum photosynthetic rates (P-max) and maximum quantum yield (Phi(max)) were 11%-22% and 17%-49% less under solar radiation with UVB than without UVB. A simplified model was developed to describe the UVB biologically effective fluence rate (E*(inh)) as an exponential decay function of depth. Light-shift experiments, in which water samples from the surface and at depth of 4 m were divided into several subsamples, and each subsamples were then incubated at different depths with and without UVB in the water column, showed that phytoplankton from the deeper water (4 m) had more inhibitive rates by UVB than that from the surface when exposed to the same light condition.</t>
  </si>
  <si>
    <t>Chinese Acad Sci, S China Sea Inst Oceanol, Key Lab Trop Marine Environm Dynam, Guangzhou 510301, Guangdong, Peoples R China; Hong Kong Univ Sci &amp; Technol, Atmospher Marine &amp; Coastal Environm Program, Kowloon, Hong Kong, Peoples R China</t>
  </si>
  <si>
    <t>Chinese Academy of Sciences; South China Sea Institute of Oceanology, CAS; Hong Kong University of Science &amp; Technology</t>
  </si>
  <si>
    <t>Yin, KD (corresponding author), Chinese Acad Sci, S China Sea Inst Oceanol, Key Lab Trop Marine Environm Dynam, Guangzhou 510301, Guangdong, Peoples R China.</t>
  </si>
  <si>
    <t>kyin@ust.hk</t>
  </si>
  <si>
    <t>Yin, Kedong/B-9773-2009</t>
  </si>
  <si>
    <t>10.1007/s11434-007-0079-2</t>
  </si>
  <si>
    <t>159AM</t>
  </si>
  <si>
    <t>WOS:000245837700018</t>
  </si>
  <si>
    <t>Wang, HJ; Fan, K</t>
  </si>
  <si>
    <t>Wang HuiJun; Fan Ke</t>
  </si>
  <si>
    <t>Relationship between the Antarctic oscillation in the western North Pacific typhoon frequency</t>
  </si>
  <si>
    <t>western North Pacific typhoon; Antarctic oscillation; atmospheric circulation</t>
  </si>
  <si>
    <t>TROPICAL CYCLONE ACTIVITY; QUASI-BIENNIAL OSCILLATION; EL-NINO; ANNULAR MODES; ENSO; VARIABILITY; CIRCULATION; IMPACTS; CLIMATE; EVENTS</t>
  </si>
  <si>
    <t>Relationship between the Antarctic oscillation (AAO) and the western North Pacific typhoon number (WNPTN) in the interannual variability is examined in this research. The WNPTN is correlated with the AAO in June-July-August-September (JJAS) in 1949-1998 at -0.48 for the detrended time series, statistically significant at 99% level. The tropical atmospheric circulation as well as the sea surface temperature variability over the western Pacific associated with AAO has been analyzed. It follows that a positive phase of JJAS AAO corresponds to the larger magnitude of the vertical zonal wind shear, the anomalous low-lever anti-cyclonic circulation and anomalous high-level cyclonic circulation, and lower sea surface temperature in the major typhoon genesis region in the western North Pacific, thus providing unfavorable environment for the typhoon genesis, and vice versa.</t>
  </si>
  <si>
    <t>Wang, HJ (corresponding author), Chinese Acad Sci, Inst Atmospher Phys, Beijing 100029, Peoples R China.</t>
  </si>
  <si>
    <t>wanghj@mail.iap.ac.cn</t>
  </si>
  <si>
    <t>SCIENCE CHINA PRESS</t>
  </si>
  <si>
    <t>10.1007/s11434-007-0040-4</t>
  </si>
  <si>
    <t>WOS:000245837700020</t>
  </si>
  <si>
    <t>Krinner, G; Magand, O; Simmonds, I; Genthon, C; Dufresne, JL</t>
  </si>
  <si>
    <t>Krinner, G.; Magand, O.; Simmonds, I.; Genthon, C.; Dufresne, J. -L.</t>
  </si>
  <si>
    <t>Simulated Antarctic precipitation and surface mass balance at the end of the twentieth and twenty-first centuries</t>
  </si>
  <si>
    <t>GENERAL-CIRCULATION MODEL; EXTRATROPICAL CYCLONE BEHAVIOR; HEMISPHERE CLIMATE-CHANGE; GLOBAL SEA-LEVEL; SOUTHERN-HEMISPHERE; EAST ANTARCTICA; ICE-CORE; SNOW ACCUMULATION; ATMOSPHERIC CIRCULATION; POLAR AMPLIFICATION</t>
  </si>
  <si>
    <t>The aim of this work is to assess potential future Antarctic surface mass balance changes, the underlying mechanisms, and the impact of these changes on global sea level. To this end, this paper presents simulations of the Antarctic climate for the end of the twentieth and twenty-first centuries. The simulations were carried out with a stretched-grid atmospheric general circulation model, allowing for high horizontal resolution (60 km) over Antarctica. It is found that the simulated present-day surface mass balance is skilful on continental scales. Errors on regional scales are moderate when observed sea surface conditions are used; more significant regional biases appear when sea surface conditions from a coupled model run are prescribed. The simulated Antarctic surface mass balance increases by 32 mm water equivalent per year in the next century, corresponding to a sea level decrease of 1.2 mm year(-1) by the end of the twenty-first century. This surface mass balance increase is largely due to precipitation changes, while changes in snow melt and turbulent latent surface fluxes are weak. The temperature increase leads to an increased moisture transport towards the interior of the continent because of the higher moisture holding capacity of warmer air, but changes in atmospheric dynamics, in particular off the Antarctic coast, regionally modulate this signal.</t>
  </si>
  <si>
    <t>Univ Grenoble 1, CNRS, LGGE, F-38402 St Martin Dheres, France; Univ Melbourne, Sch Earth Sci, Parkville, Vic 3052, Australia; Univ Paris 06, CNRS, LMD, IPSL, F-75252 Paris, France</t>
  </si>
  <si>
    <t>Centre National de la Recherche Scientifique (CNRS); Communaute Universite Grenoble Alpes; Universite Grenoble Alpes (UGA); University of Melbourne; Universite Paris Cite; Sorbonne Universite; Ecole des Ponts ParisTech; Centre National de la Recherche Scientifique (CNRS)</t>
  </si>
  <si>
    <t>Krinner, G (corresponding author), Univ Grenoble 1, CNRS, LGGE, BP 96, F-38402 St Martin Dheres, France.</t>
  </si>
  <si>
    <t>krinner@ujf-grenoble.fr</t>
  </si>
  <si>
    <t>Dufresne, Jean-Louis/I-5616-2015; Krinner, Gerhard/AAB-8837-2022; Krinner, Gerhard/A-6450-2011</t>
  </si>
  <si>
    <t>Dufresne, Jean-Louis/0000-0003-4764-9600; Krinner, Gerhard/0000-0002-2959-5920; Simmonds, Ian/0000-0002-4479-3255</t>
  </si>
  <si>
    <t>10.1007/s00382-006-0177-x</t>
  </si>
  <si>
    <t>116PE</t>
  </si>
  <si>
    <t>WOS:000242814000007</t>
  </si>
  <si>
    <t>Studies of the substorm on March 12, 1991: 1. Structure of substorm activity and auroral ions</t>
  </si>
  <si>
    <t>LONGITUDINAL CURRENTS; CURRENT DISRUPTION; PROTON AURORA; MAGNETOSPHERE; INJECTION; CRRES; ELECTRON</t>
  </si>
  <si>
    <t>The substorm on March 12, 1991 is studied using the data of ground-based network of magnetometers, all-sky cameras and TV recordings of aurora, and measurements of particle fluxes and magnetic field onboard a satellite in the equatorial plane. The structure of substorm activity and the dynamics of auroral ions of the central plasma sheet (CPS) and energetic quasi-trapped ions related to the substorm are considered in the first part. It is shown that several sharp changes in the fluxes and pitch-angle distribution of the ions which form the substorm ion injection precede a dipolarization of the magnetic field and increases of energetic electrons, and coincide with the activation of aurora registered 20 degrees eastward from the satellite. A conclusion is drawn about different mechanisms of the substorm acceleration (injection) of electrons and ions.</t>
  </si>
  <si>
    <t>Moscow MV Lomonosov State Univ, Skobeltsyn Inst Nucl Phys, Moscow 119899, Russia; Russian Acad Sci, Kola Sci Ctr, Polar Geophys Inst, Apatity 184200, Russia; UCL, Mullard Space Sci Lab, British Antarctic Survey, Cambridge, England; Oulu Univ, SF-90220 Oulu, Finland; Max Planck Inst, Lindau, Germany</t>
  </si>
  <si>
    <t>Lomonosov Moscow State University; Russian Academy of Sciences; Polar Geophysical Institute; Kola Science Centre of the Russian Academy of Sciences; University of Cambridge; University of London; University College London; UK Research &amp; Innovation (UKRI); Natural Environment Research Council (NERC); NERC British Antarctic Survey; University of Oulu; Max Planck Society</t>
  </si>
  <si>
    <t>Lazutin, LL (corresponding author), Moscow MV Lomonosov State Univ, Skobeltsyn Inst Nucl Phys, Vorobevy Gory, Moscow 119899, Russia.</t>
  </si>
  <si>
    <t>Meredith, Nigel P/C-5806-2018; Kozelov, Boris/N-2731-2013; Kozelova, Tamara/N-2760-2013</t>
  </si>
  <si>
    <t>10.1134/S0010952507010042</t>
  </si>
  <si>
    <t>140IW</t>
  </si>
  <si>
    <t>WOS:000244499200004</t>
  </si>
  <si>
    <t>Vasileva-Tonkova, E; Gesheva, V</t>
  </si>
  <si>
    <t>Vasileva-Tonkova, Evgenia; Gesheva, Victoria</t>
  </si>
  <si>
    <t>Biosurfactant production by antarctic facultative anaerobe Pantoea sp during growth on hydrocarbons</t>
  </si>
  <si>
    <t>CURRENT MICROBIOLOGY</t>
  </si>
  <si>
    <t>POLYCYCLIC AROMATIC-HYDROCARBONS; PSEUDOMONAS-AERUGINOSA; MICROBIAL-PRODUCTION; BIODEGRADATION; BACTERIUM; HYDROPHOBICITY; SOIL; BIOSYNTHESIS; DEGRADATION; AGGLOMERANS</t>
  </si>
  <si>
    <t>The facultative anaerobe Pantoea sp. strain A-13, isolated from ornithogenic soil of Dewart Island (Frazier Islands), Antarctica, produced glycolipid biosurfactants when grown on n-paraffins or kerosene as the sole source of carbon and energy. Hemolysis of erythrocytes, growth inhibition of Bacillus subtilis, and thin-layer chromatography studies have suggested that the secreted glycolipids are rhamnolipids. Glycolipids produced by kerosene-grown cells decreased the surface tension at the air-water interface to 30 mN/m and possessed a low critical micelle concentration value of 40 mg/l, which indicated high surface activity. They efficiently emulsified aromatic hydrocarbons, kerosene, and n-paraffins. Biosurfactant production contributed to an increase in cell hydrophobicity, which correlated with increased growth of the strain on tested hydrocarbons. According to the results, the Antarctic biosurfactant-producing strain Pantoea sp. A-13 appears to be valuable source for application in accelerated environmental bioremediation.</t>
  </si>
  <si>
    <t>Bulgarian Acad Sci, Stephan Angeloff Inst Microbiol, BU-1113 Sofia, Bulgaria</t>
  </si>
  <si>
    <t>Bulgarian Academy of Sciences; Stephan Angeloff Institute of Microbiology, Bulgarian Academy of Sciences</t>
  </si>
  <si>
    <t>Vasileva-Tonkova, E (corresponding author), Bulgarian Acad Sci, Stephan Angeloff Inst Microbiol, Acad G Bonchev Str,Bl 26, BU-1113 Sofia, Bulgaria.</t>
  </si>
  <si>
    <t>evaston@yahoo.com</t>
  </si>
  <si>
    <t>0343-8651</t>
  </si>
  <si>
    <t>1432-0991</t>
  </si>
  <si>
    <t>CURR MICROBIOL</t>
  </si>
  <si>
    <t>Curr. Microbiol.</t>
  </si>
  <si>
    <t>10.1007/s00284-006-0345-6</t>
  </si>
  <si>
    <t>125SI</t>
  </si>
  <si>
    <t>WOS:000243462300011</t>
  </si>
  <si>
    <t>Cotté, C; Guinet, C</t>
  </si>
  <si>
    <t>Cotte, Cedric; Guinet, Christophe</t>
  </si>
  <si>
    <t>Historical whaling records reveal major regional retreat of Antarctic sea ice</t>
  </si>
  <si>
    <t>sea ice; environmental assessment; long-term changes; whaling; Antarctic zone</t>
  </si>
  <si>
    <t>SOUTHERN-OCEAN; EUPHAUSIA-SUPERBA; EXTENT; KRILL; VARIABILITY; SATELLITE; DECLINE; INSIGHTS; WEDDELL; TRENDS</t>
  </si>
  <si>
    <t>Several studies have provided evidence of a reduction of the Antarctic sea ice extent. However, these studies were conducted either at a global scale or at a regional scale, and possible inter-regional differences were not analysed. Using the long-term whaling database we investigated circum-Antarctic changes in summer sea ice extent from 1931 to 1987. Accounting for bias inherent in the whaling method, this analysis provides new insight into the historical ice edge reconstruction and inter-regional differences. We highlight a reduction of the sea ice extent occurring in the 1960s, mainly in the Weddell sector where the change ranged from 3 degrees to 7.9 degrees latitude through summer. Although the whaling method may not be appropriate for detecting fine-scale change, these results provide evidence for a heterogeneous circumpolar change of the sea ice extent. The shift is temporally and spatially consistent with other environmental changes detected in the Weddell sector and also with a shift in the Southern Hemisphere annular mode. The large reduction of the sea ice extent has probably influenced the ecosystem of the Weddell Sea, particularly the krill biomass. (c) 2006 Elsevier Ltd. All rights reserved.</t>
  </si>
  <si>
    <t>CNRS, Ctr Etud biol Chize, F-79360 Villiers En Bois, France</t>
  </si>
  <si>
    <t>Centre National de la Recherche Scientifique (CNRS)</t>
  </si>
  <si>
    <t>Cotté, C (corresponding author), CNRS, Ctr Etud biol Chize, F-79360 Villiers En Bois, France.</t>
  </si>
  <si>
    <t>cecotte@cebc.cnrs.fr; guinet@cebc.cnrs.fr</t>
  </si>
  <si>
    <t>Cotte, Cedric/C-3296-2013; Guinet, Christophe/AAR-8457-2020; Cotté, Cédric/Z-3243-2019; Cotté, Cédric/AAX-6120-2021</t>
  </si>
  <si>
    <t>Cotté, Cédric/0000-0002-8307-6435; Cotté, Cédric/0000-0002-8307-6435</t>
  </si>
  <si>
    <t>10.1016/j.dsr.2006.11.001</t>
  </si>
  <si>
    <t>144XC</t>
  </si>
  <si>
    <t>WOS:000244828700006</t>
  </si>
  <si>
    <t>Moorhead, DL</t>
  </si>
  <si>
    <t>Moorhead, Daryl L.</t>
  </si>
  <si>
    <t>Mesoscale dynamics of ephemeral wetlands in the antarctic dry valleys: Implications to production and distribution of organic matter</t>
  </si>
  <si>
    <t>ECOSYSTEMS</t>
  </si>
  <si>
    <t>primary production; scaling; Antarctica; dry valleys; organic matter distribution; spatial subsidies</t>
  </si>
  <si>
    <t>SOUTHERN VICTORIA LAND; PERMANENT ICE COVERS; TAYLOR VALLEY; LAKE HOARE; COMMUNITY STRUCTURE; ECOSYSTEM; STREAMS; BIODIVERSITY; PATTERNS; NITROGEN</t>
  </si>
  <si>
    <t>Ephemeral wetlands in the Antarctic dry valleys alternate as sites of in situ net primary production when inundated and sources of organic matter for eolian export when desiccated. Evidence of this switch was obtained from observations made in two field seasons (2001 and 2003), coincidentally separated by a season of exceptionally high water yield from nearby glaciers (2002). In 2001, organic matter on soil surfaces adjacent to several ponds in Taylor Valley often exceeded 500 g C/m(2). One pond had a total stock of approximately 1,388 kg organic C on soils within 20 m of the shoreline. These materials formed concentric rings around the pond, suggesting historically higher water levels, consistent with aerial photographs taken a decade earlier (1993). In 2003, these materials were submerged by water apparently received during the intervening year. Also in 2003, pitfall traps were placed along the edges of exposed organic matter adjacent to another pond to evaluate organic material erosion by wind. Over 4.5 days, traps collected 0.22 +/- 0.12 to 2.91 +/- 1.68 g C/m(2), both confirming and quantifying wind transport. These results indicate that organic matter production and movement, driven by seasonal and decadal patterns of inundation/desiccation of small, ephemeral wetlands, overlay longer term (centuries and millennia) and larger scale (landscape) patterns of production and distribution driven by regional fluctuations in hydrological balance between glaciers and large freshwater lakes.</t>
  </si>
  <si>
    <t>Univ Toledo, Dept Earth Ecol &amp; Environm Sci, Toledo, OH 43606 USA</t>
  </si>
  <si>
    <t>University System of Ohio; University of Toledo</t>
  </si>
  <si>
    <t>Moorhead, DL (corresponding author), Univ Toledo, Dept Earth Ecol &amp; Environm Sci, 2801 W Bancroft St,Mail Stop 604, Toledo, OH 43606 USA.</t>
  </si>
  <si>
    <t>Daryl.Moorhead@UToledo.edu</t>
  </si>
  <si>
    <t>Directorate For Geosciences; Office of Polar Programs (OPP) [0832755] Funding Source: National Science Foundation; Office of Polar Programs (OPP); Directorate For Geosciences [1041742] Funding Source: National Science Foundation</t>
  </si>
  <si>
    <t>Directorate For Geosciences; Office of Polar Programs (OPP)(National Science Foundation (NSF)NSF - Directorate for Geosciences (GEO)); Office of Polar Programs (OPP); Directorate For Geosciences(National Science Foundation (NSF)NSF - Directorate for Geosciences (GEO))</t>
  </si>
  <si>
    <t>1432-9840</t>
  </si>
  <si>
    <t>1435-0629</t>
  </si>
  <si>
    <t>Ecosystems</t>
  </si>
  <si>
    <t>10.1007/s10021-006-9005-8</t>
  </si>
  <si>
    <t>171WL</t>
  </si>
  <si>
    <t>WOS:000246766000009</t>
  </si>
  <si>
    <t>Proffitt, KM; Garrott, RA; Rotella, JJ; Siniff, DB; Testa, JW</t>
  </si>
  <si>
    <t>Proffitt, Kelly M.; Garrott, Robert A.; Rotella, Jay J.; Siniff, Donald B.; Testa, J. Ward</t>
  </si>
  <si>
    <t>Exploring linkages between abiotic oceanographic processes and a top-trophic predator in an Antarctic ecosystem</t>
  </si>
  <si>
    <t>Antarctica; El Nino southern oscillation; sea-ice extent; climatic variation; Weddell seal; Leptonychotes weddellii</t>
  </si>
  <si>
    <t>SOUTHERN ELEPHANT SEALS; MCMURDO-SOUND; WEDDELL SEALS; WEANING MASS; LEPTONYCHOTES-WEDDELLII; MIROUNGA-LEONINA; CLIMATE-CHANGE; OCEAN CLIMATE; EL-NINO; ICE</t>
  </si>
  <si>
    <t>Climatic variation affects the physical and biological components of ecosystems, and global-climate models predict enhanced sensitivity in polar regions, raising concern for Antarctic animal populations that may show direct responses to changes in sea-ice distribution and extent, or indirect responses to changes in prey distribution and abundance. Here, we show that over a 30-year period in the Ross Sea, average weaning masses of Weddell seals, Leptonychotes weddellii, varied strongly among years and were correlated to large-scale climatic and oceanographic variations. Foraging success of pregnant seals (reflected by weaning mass the following pupping season) increased during summers characterized by reduced sea-ice cover and positive phases of the southern oscillation. These results demonstrate a correlation between environmental variation and an important life history characteristic (weaning mass) of an Antarctic marine mammal. Understanding the mechanisms that link climatic variation and animal life history characteristics will contribute to understanding both population dynamics and global climatic processes. For the world's most southerly distributed mammal species, the projected trend of increasing global climate change raises concern because increasing sea-ice trends in the Ross Sea sector of Antarctica will likely reduce populations due to reduced access to prey as expressed through declines in body condition and reproductive performance.</t>
  </si>
  <si>
    <t>Montana State Univ, Dept Ecol, Bozeman, MT 59717 USA; Univ Minnesota, Dept Ecol Evolut &amp; Behav, St Paul, MN 55108 USA; Alaska Fisheries Sci Ctr, Natl Marine Mammal Lab, Anchorage, AK 99508 USA</t>
  </si>
  <si>
    <t>Montana State University System; Montana State University Bozeman; University of Minnesota System; University of Minnesota Twin Cities; National Oceanic Atmospheric Admin (NOAA) - USA</t>
  </si>
  <si>
    <t>Proffitt, KM (corresponding author), Montana State Univ, Dept Ecol, 310 Lewis Hall, Bozeman, MT 59717 USA.</t>
  </si>
  <si>
    <t>kproffitt@montana.edu</t>
  </si>
  <si>
    <t>10.1007/s10021-006-9003-x</t>
  </si>
  <si>
    <t>WOS:000246766000011</t>
  </si>
  <si>
    <t>Teixidó, N; Garrabou, J; Gutt, J; Arntz, WE</t>
  </si>
  <si>
    <t>Teixido, N.; Garrabou, J.; Gutt, J.; Arntz, W. E.</t>
  </si>
  <si>
    <t>Iceberg disturbance and successional spatial patterns:: The case of the shelf Antarctic benthic communities</t>
  </si>
  <si>
    <t>Antarctic; benthic communities; disturbance; landscape ecology; multivariate ordination; succession; underwater photography; GIS</t>
  </si>
  <si>
    <t>CANONICAL CORRESPONDENCE-ANALYSIS; WEDDELL SEA; PHYTOPLANKTON BIOMASS; DIVERSITY; SCALE; RECOLONIZATION; DYNAMICS; IMPACT; GROWTH; FIRE</t>
  </si>
  <si>
    <t>High-latitude, shelf Antarctic benthic communities are highly diversified and structured, dominated by benthic suspension feeders, and are subject to major natural disturbances. This study focuses on spatial patterns of the Antarctic benthos emphasizing the succession process after iceberg disturbance. For this purpose, underwater photographs (1 m(2) each) from the southeastern Weddell Sea shelf (&lt; 300 m depth) were analyzed using techniques from the field of landscape ecology. Here, we examine measurements of spatial patterns (landscape indices) to describe changes in structural patterns along successional stages on these Antarctic benthic communities. We show a gradual separation from the early to older stages of succession based on sessile benthic cover area, size, shape, diversity, and interspersion and juxtaposition indices. Conceptually, the results describe a gradient from samples belonging to first stages of recovery with low cover area, low complexity of patch shape, small patch size, low diversity and patches poorly interspersed to samples from later stages with higher values of these indices. Cover area was the best predictor of recovery. We conclude that a variety of factors affect the observed successional sequences of Antarctic shelf benthic communities after iceberg disturbance, including the existence and dispersal abilities of propagules, growth rates, and competition between species. Overall, changes in the magnitude, frequency, and duration of disturbance regimes and alterations of ecosystem resilience pose major challenges for conservation of Antarctic benthos.</t>
  </si>
  <si>
    <t>Alfred Wegener Inst Polar &amp; Marine Res, D-27568 Bremerhaven, Germany; Univ Mediterranee, CNRS UMR 6540, DIMAR,Stn Marine Endoume, Ctr Oceanol Marseille, F-13007 Marseille, France</t>
  </si>
  <si>
    <t>Helmholtz Association; Alfred Wegener Institute, Helmholtz Centre for Polar &amp; Marine Research; Aix-Marseille Universite</t>
  </si>
  <si>
    <t>Teixidó, N (corresponding author), Alfred Wegener Inst Polar &amp; Marine Res, Columbusstr, D-27568 Bremerhaven, Germany.</t>
  </si>
  <si>
    <t>nuria.teixido@univmed.fr</t>
  </si>
  <si>
    <t>Teixido, Nuria/0000-0001-9286-2852; Gutt, Julian/0000-0003-3773-9370</t>
  </si>
  <si>
    <t>10.1007/s10021-006-9012-9</t>
  </si>
  <si>
    <t>WOS:000246766000013</t>
  </si>
  <si>
    <t>Zheng, SP; Ponder, MA; Shih, JY; Tiedje, JM; Thomashow, MF; Lubman, DM</t>
  </si>
  <si>
    <t>Zheng, Suping; Ponder, Monica A.; Shih, Janice YangJen; Tiedje, James M.; Thomashow, Michael F.; Lubman, David M.</t>
  </si>
  <si>
    <t>A proteomic analysis of Psychrobacter articus 273-4 adaptation to low temperature and salinity using a 2-D liquid mapping approach</t>
  </si>
  <si>
    <t>ELECTROPHORESIS</t>
  </si>
  <si>
    <t>cold adaptation; combination effect; salinity adaptation; 2-D HPLC and MS</t>
  </si>
  <si>
    <t>2-LAYER SAMPLE PREPARATION; KOREAN FERMENTED SEAFOOD; GRAM-NEGATIVE BACTERIA; LAMBDA-DNA-REPLICATION; SP-NOV.; COLD TEMPERATURES; ESCHERICHIA-COLI; METHANOCOCCOIDES-BURTONII; ANTARCTIC ARCHAEON; BACILLUS-SUBTILIS</t>
  </si>
  <si>
    <t>Psychrobacter 273-4 was isolated from a 20 000-40 000-year-old Siberian permafrost core, which is characterized by low temperature, low water activity, and high salinity. To explore how 273-4 survives in the permafrost environment, proteins in four 273-4 samples cultured at 4 and 22 degrees C in media with and without 5% sodium chloride were profiled and comparatively studied using 2-D HPLC and MS. The method used herein involved fractionation via a pH gradient using chromatofocusing followed by nonporous silica (NPS) RP-HPLC and on-line electrospray mass mapping. It was observed that 33 proteins were involved in the adaptation to low temperature in the cells grown in the nonsaline media while there were only 14 proteins involved in the saline media. There were 45 proteins observed differentially expressed in response to salt at 22 degrees C while there were 22 proteins at 4 degrees C. In addition, 5% NaCl and 4 degrees C showed a combination effect on protein expression. A total of 56 proteins involved in the adaptation to low temperature and salt were identified using MS and database searching. The differentially expressed proteins were classified into different functional categories where the response of the regulation system to stress appears to be very elaborate. The evidence shows that the adaptation of 273-4 is based primarily on the control of translation and transcription, the synthesis of proteins (chaperones) to facilitate RNA and protein folding, and the regulation of metabolic pathways.</t>
  </si>
  <si>
    <t>Univ Michigan, Dept Surg, Med Ctr, Ann Arbor, MI 48109 USA; Univ Michigan, Dept Chem, Ann Arbor, MI 48109 USA; Michigan State Univ, Ctr Genomic &amp; Evolutionary Studies Microbial Life, E Lansing, MI 48824 USA; Michigan State Univ, Ctr Microbial Ecol, E Lansing, MI 48824 USA; Univ Michigan, Dept Biol Chem, Ann Arbor, MI 48109 USA</t>
  </si>
  <si>
    <t>University of Michigan System; University of Michigan; University of Michigan System; University of Michigan; Michigan State University; Michigan State University; University of Michigan System; University of Michigan</t>
  </si>
  <si>
    <t>Lubman, DM (corresponding author), Univ Michigan, Dept Surg, Med Ctr, 1150 W Med Ctr Dr,Bldg MSRB1,Rm A510B, Ann Arbor, MI 48109 USA.</t>
  </si>
  <si>
    <t>dmlubman@umich.edu</t>
  </si>
  <si>
    <t>PO BOX 10 11 61, D-69451 WEINHEIM, GERMANY</t>
  </si>
  <si>
    <t>0173-0835</t>
  </si>
  <si>
    <t>Electrophoresis</t>
  </si>
  <si>
    <t>10.1002/elps.200600173</t>
  </si>
  <si>
    <t>139IN</t>
  </si>
  <si>
    <t>WOS:000244425600025</t>
  </si>
  <si>
    <t>Laluraj, CM; Kesavadas, V; Balachandran, KK; Gerson, VJ; Martin, GD; Shaiju, P; Revichandran, C; Joseph, T; Nair, M</t>
  </si>
  <si>
    <t>Laluraj, C. M.; Kesavadas, V.; Balachandran, K. K.; Gerson, Vijay John; Martin, G. D.; Shaiju, P.; Revichandran, C.; Joseph, T.; Nair, M.</t>
  </si>
  <si>
    <t>Recovery of an estuary in the southwest coast of India from tsunami impacts</t>
  </si>
  <si>
    <t>ENVIRONMENTAL MONITORING AND ASSESSMENT</t>
  </si>
  <si>
    <t>Cochin Estuary; southwest coast of India; tsunami impacts; water quality</t>
  </si>
  <si>
    <t>Water quality in the Cochin Estuary, southwest coast of India during the tsunami attack was assessed and compared with the pre and post tsunami characteristics. From the results obtained, it is evident that a drastic change in hydrography has been inflicted by the energy transferred through the tsunami, which disturbed the entire estuarine embayment. However, the post tsunami water quality showed normal levels indicating that the region has recovered from the tsunami impacts.</t>
  </si>
  <si>
    <t>Natl Ctr Antarctic &amp; Ocean Res, Goa 403804, India; Natl Inst Oceanog, Reg Ctr, Cochin 682018, Kerala, India</t>
  </si>
  <si>
    <t>Ministry of Earth Sciences (MoES) - India; National Centre for Polar and Ocean Research (NCPOR); Council of Scientific &amp; Industrial Research (CSIR) - India; CSIR - National Institute of Oceanography (NIO)</t>
  </si>
  <si>
    <t>Laluraj, CM (corresponding author), Natl Ctr Antarctic &amp; Ocean Res, Goa 403804, India.</t>
  </si>
  <si>
    <t>lalucm@ncaor.org</t>
  </si>
  <si>
    <t>0167-6369</t>
  </si>
  <si>
    <t>1573-2959</t>
  </si>
  <si>
    <t>ENVIRON MONIT ASSESS</t>
  </si>
  <si>
    <t>Environ. Monit. Assess.</t>
  </si>
  <si>
    <t>10.1007/s10661-006-9237-2</t>
  </si>
  <si>
    <t>132VG</t>
  </si>
  <si>
    <t>WOS:000243970000005</t>
  </si>
  <si>
    <t>Bird, MI; Fifield, LK; Teh, TS; Chang, CH; Shirlaw, N; Lambeck, K</t>
  </si>
  <si>
    <t>Bird, M. I.; Fifield, L. K.; Teh, T. S.; Chang, C. H.; Shirlaw, N.; Lambeck, K.</t>
  </si>
  <si>
    <t>An inflection in the rate of early mid-Holocene eustatic sea-level rise: A new sea-level curve from Singapore</t>
  </si>
  <si>
    <t>Holocene; sea level; radiocarbon; Sundaland; mangrove; palaeoclimate</t>
  </si>
  <si>
    <t>LAST GLACIAL MAXIMUM; LATE PLEISTOCENE; MELTING HISTORY; CLIMATE-CHANGE; HOLOCENE; REEF; MELTWATER; RECORD; SHELF; COAST</t>
  </si>
  <si>
    <t>This study presents a sea-level curve from similar to 9500 to similar to 6500 cal BP for the farfield location of Singapore, on the Sunda Shelf in southeast Asia. The curve is based on more than 50 radiocarbon dates from elevations of +1.43 m to -15.09 m representing sea-level index points in intertidal mangrove and shallow marine sediments deposited by sea-level rise accompanying deglaciation. The results indicate that mean sea level rose rapidly from around -17 in at 9500 cal BP to around -3 m by 8000 cal BP. After this time, the data suggest (but do not unequivocally prove) that the rate of sea-rise slowed for a period of 300-500 years centred on similar to 7700 cal BP, shortly after the cessation of meltwater input to the oceans from the northern hemisphere. Renewed sea-level rise amounting to 3-5 m began around 7400 cal BP and was complete by 7000 cal BP. The existence of an inflection in the rate of sea-level rise, with a slow-down centred on similar to 7700 cal BP, is broadly consistent with other available sea-level curves over this interval and is supported by evidence of stable shorelines and delta initiation elsewhere at this time, as well as evidence of comparatively rapid retreat of the West Antarctic ice sheet beginning around 7500 cal BP. 'Stepped' sea-level rise occurring shortly after 7500 cal BP and also earlier during deglaciation may have served to focus significant post-glacial episodes of human maritime/coastal dispersal, into comparatively narrow time intervals. (c) 2006 Elsevier Ltd. All rights reserved.</t>
  </si>
  <si>
    <t>Univ St Andrews, Sch Geog &amp; Geosci, St Andrews KY16 9AJ, Fife, Scotland; Australian Natl Univ, Res Sch Phys Sci &amp; Engn, Canberra, ACT 0200, Australia; Nanyang Technol Univ, Natl Inst Educ, Singapore 637616, Singapore; Land Transport Author, Singapore 219428, Singapore; Australian Natl Univ, Res Sch Earth Sci, Canberra, ACT 0200, Australia</t>
  </si>
  <si>
    <t>University of St Andrews; Australian National University; Nanyang Technological University; National Institute of Education (NIE) Singapore; Australian National University</t>
  </si>
  <si>
    <t>Bird, MI (corresponding author), Univ St Andrews, Sch Geog &amp; Geosci, Irvine Bldg, St Andrews KY16 9AJ, Fife, Scotland.</t>
  </si>
  <si>
    <t>michael.bird@st-andrews.ac.uk</t>
  </si>
  <si>
    <t>Bird, Michael/G-5364-2010; Chang, Chew-Hung/L-3683-2016</t>
  </si>
  <si>
    <t>Bird, Michael/0000-0003-1801-8703; Chang, Chew-Hung/0000-0002-1301-2735; Fifield, Leslie/0000-0003-2866-4944; Shirlaw, James/0000-0002-5202-9193</t>
  </si>
  <si>
    <t>10.1016/j.ecss.2006.07.004</t>
  </si>
  <si>
    <t>135TT</t>
  </si>
  <si>
    <t>WOS:000244177300016</t>
  </si>
  <si>
    <t>Barkay, T; Poulain, AJ</t>
  </si>
  <si>
    <t>Barkay, Tamar; Poulain, Alexandre J.</t>
  </si>
  <si>
    <t>Mercury (micro)biogeochemistry in polar environments</t>
  </si>
  <si>
    <t>International Conference on Polar and Alpine Microbiology</t>
  </si>
  <si>
    <t>MAR 27-31, 2006</t>
  </si>
  <si>
    <t>Innsbruck, AUSTRIA</t>
  </si>
  <si>
    <t>mercury; microbial transformations; methyl mercury accumulation; polar regions; contamination; redox transformations</t>
  </si>
  <si>
    <t>DISSOLVED GASEOUS MERCURY; SULFATE-REDUCING BACTERIA; ATMOSPHERIC MERCURY; SEA-ICE; MICROBIAL TRANSFORMATIONS; PHOTOINDUCED OXIDATION; BIOAVAILABLE MERCURY; SPRINGTIME DEPLETION; COMMUNITY ANALYSIS; ELEMENTAL MERCURY</t>
  </si>
  <si>
    <t>The contamination of polar regions with mercury that is transported as inorganic mercury from lower latitudes has resulted in the accumulation of methylmercury in the food chain of polar environments, risking the health of humans and wildlife. This problem is likely to be particularly severe in coastal marine environments where active cycling occurs. Little is currently known about how mercury is methylated in polar environments. Relating observations on mercury deposition and transport through polar regions to knowledge of the microbiology of cold environments and considering the principles of mercury transformations as have been elucidated in temperate aquatic environments, we propose that in polar regions (1) variable pathways for mercury methylation may exist, (2) mercury bioavailability to microbial transformations may be enhanced, and (3) microbial niches within sea ice are sites where active microorganisms are localized in proximity to high concentrations of mercury. Thus, microbial transformations, and consequently mercury biogeochemistry, in the Arctic and Antarctic are both unique and common to these processes in lower latitudes, and understanding their dynamics is needed for the management of mercury-contaminated polar environments.</t>
  </si>
  <si>
    <t>Rutgers State Univ, Dept Biochem &amp; Microbiol, New Brunswick, NJ 08901 USA; Univ Montreal, Succursale Ctr Ville, GRIL, Dept Biol Sci, Montreal, PQ, Canada</t>
  </si>
  <si>
    <t>Rutgers University System; Rutgers University New Brunswick; Universite de Montreal</t>
  </si>
  <si>
    <t>Barkay, T (corresponding author), 76 Lipman Dr, New Brunswick, NJ 08901 USA.</t>
  </si>
  <si>
    <t>barkay@aesop.rutgers.edu</t>
  </si>
  <si>
    <t>Poulain, Alexandre J/C-2136-2008; Poulain, Alexandre/C-1246-2009; Barkay, Tamar/JRG-2289-2023</t>
  </si>
  <si>
    <t>Poulain, Alexandre/0000-0002-0488-3993</t>
  </si>
  <si>
    <t>10.1111/j.1574-6941.2006.00246.x</t>
  </si>
  <si>
    <t>126IO</t>
  </si>
  <si>
    <t>WOS:000243506800003</t>
  </si>
  <si>
    <t>Alekhina, IA; Marie, D; Petit, JR; Lukin, VV; Zubkov, VM; Bulat, SA</t>
  </si>
  <si>
    <t>Alekhina, Irina A.; Marie, Dominique; Petit, Jean Robert; Lukin, Valery V.; Zubkov, Vladimir M.; Bulat, Sergey A.</t>
  </si>
  <si>
    <t>Molecular analysis of bacterial diversity in kerosene-based drilling fluid from the deep ice borehole at Vostok, East Antarctica</t>
  </si>
  <si>
    <t>International Conference on Alpine and Polar Microbiology</t>
  </si>
  <si>
    <t>drilling fluid; Lake Vostok; contamination; Sphingomonas; Antarctica; extremophiles</t>
  </si>
  <si>
    <t>16S RIBOSOMAL-RNA; HYDROCARBON-DEGRADING BACTERIA; POLYCYCLIC AROMATIC-HYDROCARBONS; SP-NOV; MICROBIAL DIVERSITY; LAKE VOSTOK; PSYCHROTOLERANT BACTERIA; SCOTT BASE; CRUDE-OIL; GEN. NOV.</t>
  </si>
  <si>
    <t>Decontamination of ice cores is a critical issue in phylogenetic studies of glacial ice and subglacial lakes. At the Vostok drill site, a total of 3650 m of ice core have now been obtained from the East Antarctic ice sheet. The ice core surface is coated with a hard-to-remove film of impure drilling fluid comprising a mixture of aliphatic and aromatic hydrocarbons and foranes. In the present study we used 16S rRNA gene sequencing to analyze the bacterial content of the Vostok drilling fluid sampled from four depths in the borehole. Six phylotypes were identified in three of four samples studied. The two dominant phylotypes recovered from the deepest (3400 and 3600 m) and comparatively warm (-10 degrees C and -6 degrees C, respectively) borehole horizons were from within the genus Sphingomonas, a well-known degrader of polyaromatic hydrocarbons. The remaining phylotypes encountered in all samples proved to be human- or soil-associated bacteria and were presumed to be drilling fluid contaminants of rare occurrence. The results obtained indicate the persistence of bacteria in extremely cold, hydrocarbon-rich environments. They show the potential for contamination of ice and subglacial water samples during lake exploration, and the need to develop a microbiological database of drilling fluid findings.</t>
  </si>
  <si>
    <t>RAS, Petersburg Nucl Phys Inst, St Petersburg 188300, Russia; CNRS, Lab Glaciol &amp; Geophys Environm, Grenoble, France; Biol Stn, Roscoff, France; Arctic &amp; Antarctic Res Inst, St Petersburg 199226, Russia; St Petersburg State Min Inst, St Petersburg, Russia</t>
  </si>
  <si>
    <t>Russian Academy of Sciences; National Research Centre - Kurchatov Institute; Petersburg Nuclear Physics Institute; Communaute Universite Grenoble Alpes; Universite Grenoble Alpes (UGA); Centre National de la Recherche Scientifique (CNRS); Arctic &amp; Antarctic Research Institute; Saint Petersburg Mining University</t>
  </si>
  <si>
    <t>Alekhina, IA (corresponding author), RAS, Petersburg Nucl Phys Inst, St Petersburg 188300, Russia.</t>
  </si>
  <si>
    <t>alekhina@omrb.pnpi.spb.ru</t>
  </si>
  <si>
    <t>Lukin, Valeriy/N-1147-2015; Alekhina, Irina/L-2163-2016</t>
  </si>
  <si>
    <t>Lukin, Valeriy/0000-0003-1726-7361; Bulat, Sergey/0000-0002-2574-882X; Alekhina, Irina/0000-0001-9820-8675</t>
  </si>
  <si>
    <t>10.1111/j.1574-6941.2006.00271.x</t>
  </si>
  <si>
    <t>WOS:000243506800008</t>
  </si>
  <si>
    <t>Mindl, B; Anesio, AM; Meirer, K; Hodson, AJ; Laybourn-Parry, J; Sommaruga, R; Sattler, B</t>
  </si>
  <si>
    <t>Mindl, Birgit; Anesio, Alexandre M.; Meirer, Katrin; Hodson, Andrew J.; Laybourn-Parry, Johanna; Sommaruga, Ruben; Sattler, Birgit</t>
  </si>
  <si>
    <t>Factors influencing bacterial dynamics along a transect from supraglacial runoff to proglacial lakes of a high Arctic glacieri</t>
  </si>
  <si>
    <t>high arctic glacier; supraglacial melt water; proglacial lakes; bacterial production; denaturing gradient gel electrophoresis</t>
  </si>
  <si>
    <t>CRYOCONITE HOLES; FRESH-WATER; BACTERIOPLANKTON PRODUCTION; MICROBIAL COMMUNITIES; SUBPOLAR GLACIERS; ORGANIC-CARBON; ALGAL BIOMASS; GROWTH-RATE; TEMPERATURE; ICE</t>
  </si>
  <si>
    <t>Bacterial production in glacial runoff and aquatic habitats along a c. 500 m transect from the ablation area of a Svalbard glacier (Midre Lovenbreen, 79 degrees N, 12 degrees E) down to a series of proglacial lakes in its forefield were assessed. In addition, a series of in situ experiments were conducted to test how different nutrient sources (glacial flour and dissolved organic matter derived from goose faeces) and temperature affect bacterial abundance and production in these ecosystems. Bacterial abundance and production increased significantly along this transect and reached a maximum in the proglacial lakes. Bacterial diversity profiles as assessed by denaturing gradient gel electrophoresis indicated that communities in glacial runoff were different from those in proglacial lakes. Heterotrophic bacterial production was mainly controlled by temperature and phosphorus limitation. Addition of both glacial flour and dissolved organic matter derived from goose faeces stimulated bacterial production in those lakes. The results suggest that glacial runoff sustains an active bacterial community which is further stimulated in proglacial lakes by higher temperatures and nutrient inputs from bird faeces. Thus, as in maritime temperate and Antarctic settings, bacterial communities developing in the recently deglaciated terrain of Svalbard receive important inputs of nutrients via faunal transfers from adjacent ecosystems.</t>
  </si>
  <si>
    <t>Univ Innsbruck, Inst Ecol, A-6020 Innsbruck, Austria; Univ Wales, Inst Biol Sci, Aberystwyth, Dyfed, Wales; Univ Innsbruck, Inst Microbiol, A-6020 Innsbruck, Austria; Univ Sheffield, Dept Geog, Sheffield S10 2TN, S Yorkshire, England; Keele Univ, Inst Environm Phys Sci &amp; Appl Math, Keele, Staffs, England</t>
  </si>
  <si>
    <t>University of Innsbruck; Aberystwyth University; University of Innsbruck; University of Sheffield; Keele University</t>
  </si>
  <si>
    <t>Sattler, B (corresponding author), Univ Innsbruck, Inst Ecol, Tech Str 25, A-6020 Innsbruck, Austria.</t>
  </si>
  <si>
    <t>birgit.sattler@uibk.ac.at</t>
  </si>
  <si>
    <t>Sommaruga, Ruben/P-6626-2019; Sattler, Birgit/C-4070-2018; Anesio, Alexandre/A-7597-2008; Sommaruga, Ruben/E-5335-2011</t>
  </si>
  <si>
    <t>Sommaruga, Ruben/0000-0002-1055-2461; Anesio, Alexandre/0000-0003-2990-4014; Sommaruga, Ruben/0000-0002-1055-2461; Hodson, Andrew/0000-0002-1255-7987</t>
  </si>
  <si>
    <t>NERC [NE/D007321/1] Funding Source: UKRI; Natural Environment Research Council [NE/D007321/1] Funding Source: researchfish</t>
  </si>
  <si>
    <t>10.1111/j.1574-6941.2006.00262.x</t>
  </si>
  <si>
    <t>WOS:000243506800010</t>
  </si>
  <si>
    <t>de García, V; Brizzio, S; Libkind, D; Buzzini, P; van Broock, M</t>
  </si>
  <si>
    <t>de Garcia, Virginia; Brizzio, Silvia; Libkind, Diego; Buzzini, Pietro; van Broock, Maria</t>
  </si>
  <si>
    <t>Biodiversity of cold-adapted yeasts from glacial meltwater rivers in Patagonia, Argentina</t>
  </si>
  <si>
    <t>biodiversity; yeasts; Patagonia; psychrophiles; glacial meltwater environment</t>
  </si>
  <si>
    <t>BASIDIOMYCETOUS YEAST; SP NOV.; CRYPTOCOCCUS-LAURENTII; PSYCHROPHILIC YEASTS; AQUATIC ENVIRONMENTS; POLYPHASIC TAXONOMY; RHODOTORULA; SYSTEMATICS; DIVERSITY; STRAINS</t>
  </si>
  <si>
    <t>The occurrence of culturable yeasts in glacial meltwater from the Frias, Castano Overo and Rio Manso glaciers, located on Mount Tronador in the Nahuel Huapi National Park (Northwestern Patagonia, Argentina) is presented. Subsurface water samples were filtered for colony counting and yeast isolation. The total yeast count ranged between 6 and 360 CFU L-1. Physiologic and molecular methods were employed to identify 86 yeast isolates. In agreement with yeast diversity data from studies for Antarctic and Alpine glaciers, the genera Cryptococcus, Leucosporidiella, Dioszegia, Rhodotorula, Rhodosporidium, Mrakia, Sporobolomyces, Udeniomyces and Candida were found. Cryptococcus and Leucosporidiella accounted for 50% and 20% of the total number of strains, respectively. Among 21 identified yeast species, Cryptococcus sp. 1 and Leucosporidiella fragaria were the most frequent. The typically psychrophilic Mrakia yeast strain and three new yeast species, yet to be described, were also isolated. All yeast strains were able to grow at 5, 10, and 15 degrees C. Among yeast strains expressing extracellular enzymatic activity, higher proteolytic and lipolytic activities were obtained at 4 degrees C than at 20 degrees C.</t>
  </si>
  <si>
    <t>UNCO, CONICET, Lab Microbiol Aplicada &amp; Biotecnol, San Carlos De Bariloche, Rio Negro, Argentina; Univ Perugia, Dipartimento Biol Vegetale &amp; Biotecnol Agroambien, I-06100 Perugia, Italy</t>
  </si>
  <si>
    <t>Consejo Nacional de Investigaciones Cientificas y Tecnicas (CONICET); University of Perugia</t>
  </si>
  <si>
    <t>de García, V (corresponding author), Quintral 1250, RA-8400 San Carlos De Bariloche, Rio Negro, Argentina.</t>
  </si>
  <si>
    <t>vdegarcia@crub.uncoma.edu.ar</t>
  </si>
  <si>
    <t>Pietro, Buzzini/F-5739-2014</t>
  </si>
  <si>
    <t>Buzzini, Pietro/0000-0001-6793-0606</t>
  </si>
  <si>
    <t>10.1111/j.1574-6941.2006.00239.x</t>
  </si>
  <si>
    <t>WOS:000243506800012</t>
  </si>
  <si>
    <t>Prabagaran, SR; Manorama, R; Delille, D; Shivaji, S</t>
  </si>
  <si>
    <t>Prabagaran, Solai Ramatchandirane; Manorama, Ruth; Delille, Daniel; Shivaji, Sisinthy</t>
  </si>
  <si>
    <t>Predominance of Roseobacter, Sulfitobacter, Glaciecola and Psychrobacter in seawater collected off Ushuaia, Argentina, Sub-Antarctica</t>
  </si>
  <si>
    <t>Ushuaia; sub-Antarctica; bacterial biodiversity; 16S rRNA gene clones; psychrophiles</t>
  </si>
  <si>
    <t>POLYCYCLIC AROMATIC-HYDROCARBONS; IN-SITU BIODEGRADATION; SP-NOV.; BACTERIAL DIVERSITY; SEA-ICE; MICROBIAL-DEGRADATION; HAMTA GLACIER; RAPID METHOD; SOIL; CULTIVATION</t>
  </si>
  <si>
    <t>Bacterial diversity in sub-Antarctic seawater, collected off Ushuaia, Argentina, was examined using a culture independent approach. The composition of the 16S rRNA gene libraries from seawater and seawater contaminated with the water soluble fraction of crude oil was statistically different (P value 0.001). In both libraries, clones representing the Alphaproteobacteria, Gammaproteobacteria, the Cytophaga-Flavobacterium-Bacteroidetes group and unculturable bacteria were dominant. Clones associated with the genera Roseobacter, Sulfitobacter, Staleya, Glaciecola, Colwellia, Marinomonas, Cytophaga and Cellulophaga were common to both the libraries. However, clones associated with Psychrobacter, Arcobacter, Formosa algae, Polaribacter, Ulvibacter and Tenacibaculum were found only in seawater contaminated with hydrocarbons (Table 1). Further, the percentage of clones of Roseobacter, Sulfitobacter and Glaceicola was high in seawater (43%, 90% and 12% respectively) compared to seawater contaminated with hydrocarbons (35%, 4% and 9% respectively). One of the clones F2C63 showed 100% similarity with Marinomonas ushuaiensis a bacterium identified by us from the same site.</t>
  </si>
  <si>
    <t>Ctr Cellular &amp; Mol Biol, Hyderabad 500007, Andhra Pradesh, India; Univ Pierre, Observ Oceanol Banyuls Lab Arago 12, Banyuls sur Mer, France; Inst Natl Sci Univ, Banyuls sur Mer, France</t>
  </si>
  <si>
    <t>Shivaji, S (corresponding author), Ctr Cellular &amp; Mol Biol, Uppal Rd, Hyderabad 500007, Andhra Pradesh, India.</t>
  </si>
  <si>
    <t>shivas@ccmb.res.in</t>
  </si>
  <si>
    <t>Daniel, Delille/S-9542-2019</t>
  </si>
  <si>
    <t>shivaji, sisinthy/0000-0003-0376-4658</t>
  </si>
  <si>
    <t>10.1111/j.1574-6941.2006.00213.x</t>
  </si>
  <si>
    <t>WOS:000243506800013</t>
  </si>
  <si>
    <t>Comte, K; Sabacká, M; Carré-Mlouka, A; Elster, J; Komárek, J</t>
  </si>
  <si>
    <t>Comte, Katia; Sabacka, Marie; Carre-Mlouka, Alyssa; Elster, Josef; Komarek, Jiri</t>
  </si>
  <si>
    <t>Relationships between the Arctic and the Antarctic cyanobacteria;: three Phormidium-like strains evaluated by a polyphasic approach</t>
  </si>
  <si>
    <t>polar cyanobacteria; Phormidium; 16S rRNA gene; restriction fragment length polymorphism; internal transcribed space; morphotypes</t>
  </si>
  <si>
    <t>MORPHOLOGICAL CHARACTERIZATION; DIVERSITY; ARTHROSPIRA; ALGAE; ICE</t>
  </si>
  <si>
    <t>Selected strains of filamentous Phormidium-like cyanobacteria isolated from two Arctic regions (Ellesmere Island, High Canadian Arctic and Svalbard) and from Antarctica (Antarctic peninsula, South Shetland Islands and South Orkney Islands) were studied. The polyphasic approach used included phenotypic observations of morphological features and genotypic analyses (restriction fragment length polymorphism of 16S rRNA gene, internal transcribed space, 16S rRNA gene sequence analysis). Although genotypes generally correspond to observed morphotypes, the genetic analyses revealed a high degree of biodiversity that could not be unveiled using solely morphological evaluations. According to the phylogenetic analysis, the three clones were divided into two major clades, indicating that the phylogenetic distance between Arct-Ph5/Ant-Ph68 and Ant-Ph58 was so large they belonged to different genera. The polyphyletic position of strains of the genus Phormidium was confirmed by this study, attesting the need to entirely revise classification in this taxon in the future.</t>
  </si>
  <si>
    <t>Acad Sci Czech Republ, Inst Bot, Trebon, Czech Republic; Univ S Bohemia, Fac Biol Sci, Ceske Budejovice, Czech Republic; Univ Versailles St Quentin Yvelines, UFR Sci, Lab Genet &amp; Biol Cellulaire, Versailles, France</t>
  </si>
  <si>
    <t>Czech Academy of Sciences; Institute of Botany of the Czech Academy of Sciences; Czech Academy of Sciences; University of South Bohemia Ceske Budejovice; Universite Paris Saclay</t>
  </si>
  <si>
    <t>Comte, K (corresponding author), Univ Bristol, Sch Biol Sci, Woodland Rd, Bristol BS8 1UG, Avon, England.</t>
  </si>
  <si>
    <t>katia.comte@bristol.ac.uk</t>
  </si>
  <si>
    <t>Sabacka, Marie/I-6378-2012; Komarek, Jiri/H-1597-2014; Elster, Josef/B-1031-2008; COMTE, Katia/ABA-6294-2021</t>
  </si>
  <si>
    <t>COMTE, Katia/0000-0001-5943-1313; Sabacka, Marie/0000-0002-0876-2718; Elster, Josef/0000-0002-4535-5636; Carre-Mlouka, Alyssa/0000-0002-6141-8115</t>
  </si>
  <si>
    <t>10.1111/j.1574-6941.2006.00257.x</t>
  </si>
  <si>
    <t>WOS:000243506800015</t>
  </si>
  <si>
    <t>Fernández-Valiente, E; Camacho, A; Rochera, C; Rico, E; Vincent, WF; Quesada, A</t>
  </si>
  <si>
    <t>Fernandez-Valiente, Eduardo; Camacho, Antonio; Rochera, Carlos; Rico, Eugenio; Vincent, Warwick F.; Quesada, Antonio</t>
  </si>
  <si>
    <t>Community structure and physiological characterization of microbial mats in Byers Peninsula, Livingston Island (South Shetland Islands, Antarctica)</t>
  </si>
  <si>
    <t>Antarctica; microbial mat; nitrogen assimilation; N-2 fixation; photosynthesis; photosynthetic pigments</t>
  </si>
  <si>
    <t>MCMURDO ICE SHELF; CYANOBACTERIAL MATS; NITROGEN DYNAMICS; VICTORIA LAND; PHOTOSYNTHESIS; CARBON; LIGHT; PONDS; BIOMASS; STREAMS</t>
  </si>
  <si>
    <t>The community structure and physiological characteristics of three microbial mat communities in Byers Peninsula (Livingston Island, South Shetland Islands, Antarctica) were compared. One of the mats was located at the edge of a stream and was dominated by diatoms (with a thin basal layer of oscillatorian cyanobacteria), whereas the other two mats, located over moist soil and the bottom of a pond, respectively, were dominated by cyanobacteria throughout their vertical profiles. The predominant xanthophyll was fucoxanthin in the stream mat and myxoxanthophyll in the cyanobacteria-dominated mats. The sheath pigment scytonemin was absent in the stream mat but present in the soil and pond mats. The stream mat showed significantly lower delta C-13 and higher delta N-15 values than the other two mats. Consistent with the delta N-15 values, N-2 fixation was negligible in the stream mat. The soil mat was the physiologically most active community. It showed rates of photosynthesis three times higher than in the other mats, and had the highest rates of ammonium uptake, nitrate uptake and N-2 fixation. These observations underscore the taxonomic and physiological diversity of microbial mat communities in the maritime Antarctic region.</t>
  </si>
  <si>
    <t>Univ Autonoma Madrid, Dept Biol, Madrid, Spain; Univ Valencia, Inst Cavanilles Biodiversidad &amp; Biol Evolut, E-46100 Burjassot, Spain; Univ Autonoma Madrid, Dept Ecol, Madrid, Spain; Univ Laval, Dept Biol, Ste Foy, PQ G1K 7P4, Canada</t>
  </si>
  <si>
    <t>Autonomous University of Madrid; University of Valencia; Autonomous University of Madrid; Laval University</t>
  </si>
  <si>
    <t>Fernández-Valiente, E (corresponding author), Fac Ciencias, Edif Biol,C Darwin 2, E-28049 Madrid, Spain.</t>
  </si>
  <si>
    <t>eduardo.fernandez@uam.es</t>
  </si>
  <si>
    <t>Rochera, Carlos/M-2932-2014; Vincent, Warwick/AAH-6152-2019; Vincent, Warwick F/C-9522-2009; Camacho, Antonio/I-3417-2015; Quesada, Antonio/L-2430-2013; Rico, Eugenio/L-2429-2013</t>
  </si>
  <si>
    <t>Rochera, Carlos/0000-0002-8294-4755; Vincent, Warwick/0000-0001-9055-1938; Camacho, Antonio/0000-0003-0841-2010; Quesada, Antonio/0000-0002-8913-5993; Rico, Eugenio/0000-0001-6978-645X</t>
  </si>
  <si>
    <t>10.1111/j.1574-6941.2006.00221.x</t>
  </si>
  <si>
    <t>WOS:000243506800016</t>
  </si>
  <si>
    <t>de los Ríos, A; Grube, M; Sancho, LG; Ascaso, C</t>
  </si>
  <si>
    <t>de los Rios, Asuncion; Grube, Martin; Sancho, Leopoldo G.; Ascaso, Carmen</t>
  </si>
  <si>
    <t>Ultrastructural and genetic characteristics of endolithic cyanobacterial biofilms colonizing Antarctic granite rocks</t>
  </si>
  <si>
    <t>Antarctica; cyanobacteria; 16S rRNA gene; endolithic biofilms; extracellular polymeric substances</t>
  </si>
  <si>
    <t>MCMURDO DRY VALLEYS; HEMICHLORIS-ANTARCTICA; CHLOROPHYLL D; MICROORGANISMS; DIVERSITY; ALGAE; COMMUNITIES; BACTERIA; DESERT; SANDSTONE</t>
  </si>
  <si>
    <t>The precise identification of the cyanobacteria that comprise an endolithic biofilm is hindered by difficulties in culturing the organisms found in these biofilms and a lack of previous molecular and ultrastructural data. This study characterizes, both at the ultrastructural and molecular level, two different cyanobacterial biofilms found in fissures of granite from continental Antarctica. Electron microscopy revealed structural differences between the two biofilms. One was only loosely adhered to the substrate, while the other biofilm showed a closer association between cells and rock minerals and was tightly attached to the substrate. Cells from both biofilms where ultrastructurally distinct, displaying, for instance, clear differences in their sheaths. The amounts of EPS and their organization associated with the cyanobacteria may determine the differences in adhesion and effects on the lithic substrate observed in the biofilms. By sequencing part of the 16S rRNA gene, the two cyanobacteria were also genetically characterized. The gene sequence of the cells comprising the biofilm that was tightly attached to the lithic substrate showed most homology with that of an endolithic cyanobacterium from Switzerland (AY153458), and the cyanobacterial type loosely adhered to the rock, clustered with Acaryochloris marina, the only organism unequivocally known to contain chlorophyll d. This study reveals the presence of at least two different types of endolithic biofilm, dominated each by a single type of cyanobacterium, able to withstand the harsh conditions of the Antarctic climate.</t>
  </si>
  <si>
    <t>CSIC, Ctr Ciencias Medioambientales, Asunc Rios, E-28006 Madrid, Spain; Graz Univ, Inst Pflanzenwissensch, A-8010 Graz, Austria; Univ Complutense Madrid, E-28040 Madrid, Spain</t>
  </si>
  <si>
    <t>Consejo Superior de Investigaciones Cientificas (CSIC); CSIC - Centro de Ciencias Medioambientales (CCMA); University of Graz; Complutense University of Madrid</t>
  </si>
  <si>
    <t>de los Ríos, A (corresponding author), CSIC, Ctr Ciencias Medioambientales, Asunc Rios, Serrano 115 Bis, E-28006 Madrid, Spain.</t>
  </si>
  <si>
    <t>arios@ccma.csic.es</t>
  </si>
  <si>
    <t>Sancho, leopoldo G./H-2974-2013; de los Rios, Asuncion/L-3694-2014; SANCHO, LEOPOLDO/G-9120-2015; Ascaso, Carmen/F-5369-2011</t>
  </si>
  <si>
    <t>de los Rios, Asuncion/0000-0002-0266-3516; SANCHO, LEOPOLDO/0000-0002-4751-7475; Ascaso, Carmen/0000-0001-9665-193X; Grube, Martin/0000-0001-6940-5282</t>
  </si>
  <si>
    <t>10.1111/j.1574-6941.2006.00256.x</t>
  </si>
  <si>
    <t>WOS:000243506800017</t>
  </si>
  <si>
    <t>Petz, W; Valbonesi, A; Schiftner, U; Quesada, A; Ellis-Evans, JC</t>
  </si>
  <si>
    <t>Petz, Wolfgang; Valbonesi, Alessandro; Schiftner, Uwe; Quesada, Antonio; Ellis-Evans, J. Cynan</t>
  </si>
  <si>
    <t>Ciliate biogeography in Antarctic and Arctic freshwater ecosystems: endemism or global distribution of species?</t>
  </si>
  <si>
    <t>ciliates; protists; biodiversity; biogeography; endemism; polar regions</t>
  </si>
  <si>
    <t>SOUTHERN VICTORIA-LAND; MICROBIAL DIVERSITY; TERRESTRIAL ALGAE; EAST ANTARCTICA; TESTATE AMEBAS; LAKE-FRYXELL; PROTOZOA; DISPERSAL; SOIL; BIODIVERSITY</t>
  </si>
  <si>
    <t>Ciliate diversity was investigated in situ in freshwater ecosystems of the maritime (South Shetland Islands, mainly Livingston Island, 63 degrees S) and continental Antarctic (Victoria Land, 75 degrees S), and the High Arctic (Svalbard, 79 degrees N). In total, 334 species from 117 genera were identified in both polar regions, i.e. 210 spp. (98 genera) in the Arctic, 120 spp. (73 genera) in the maritime and 59 spp. (41 genera) in the continental Antarctic. Forty-four species (13% of all species) were common to both Arctic and Antarctic freshwater bodies and 19 spp. to both Antarctic areas (12% of all species). Many taxa are cosmopolitans but some, e.g. Stentor and Metopus spp., are not, and over 20% of the taxa found in any one of the three areas are new to science. Cluster analysis revealed that species similarity between different biotopes (soil, moss) within a study area was higher than between similar biotopes in different regions. Distinct differences in the species composition of freshwater and terrestrial communities indicate that most limnetic ciliates are not ubiquitously distributed. These observations and the low congruence in species composition between both polar areas, within Antarctica and between high- and temperate-latitude water bodies, respectively, suggest that long-distance dispersal of limnetic ciliates is restricted and that some species have a limited geographical distribution.</t>
  </si>
  <si>
    <t>UmweltGutachten Petz, Ecol Consulting Off, A-5300 Hallwang, Austria; Salzburg Univ, FB Organism Biol, A-5020 Salzburg, Austria; Univ Camerino, Dipartimento Sci Ambientali, Matelica, Italy; Univ Autonoma Madrid, Madrid, Spain; British Antarctic Survey, Cambridge CB3 0ET, England</t>
  </si>
  <si>
    <t>Salzburg University; University of Camerino; Autonomous University of Madrid; UK Research &amp; Innovation (UKRI); Natural Environment Research Council (NERC); NERC British Antarctic Survey</t>
  </si>
  <si>
    <t>Petz, W (corresponding author), UmweltGutachten Petz, Ecol Consulting Off, Hallwanger Landesstr 32A, A-5300 Hallwang, Austria.</t>
  </si>
  <si>
    <t>petz@umweltgutachten.at</t>
  </si>
  <si>
    <t>Quesada, Antonio/L-2430-2013</t>
  </si>
  <si>
    <t>Quesada, Antonio/0000-0002-8913-5993</t>
  </si>
  <si>
    <t>10.1111/j.1574-6941.2006.00259.x</t>
  </si>
  <si>
    <t>WOS:000243506800018</t>
  </si>
  <si>
    <t>Polischuk, V; Budzanivska, I; Shevchenko, T; Oliynik, S</t>
  </si>
  <si>
    <t>Polischuk, Valery; Budzanivska, Irena; Shevchenko, Tetyana; Oliynik, Svitlana</t>
  </si>
  <si>
    <t>Evidence for plant viruses in the region of Argentina Islands, Antarctica</t>
  </si>
  <si>
    <t>plant virus; Antarctica; virus occurrence; virus ecology</t>
  </si>
  <si>
    <t>MOTTLE-MOSAIC-VIRUS; RESISTANCE; DISEASE; GENE; PROTEINS; MONOCOT; DICOT</t>
  </si>
  <si>
    <t>This work focused on the assessment of plant virus occurrence among primitive and higher plants in the Antarctic region. Sampling occurred during two seasons (2004/5 and 2005/6) at the Ukrainian Antarctic Station 'Academician Vernadskiy' positioned on Argentina Islands. Collected plant samples of four moss genera (Polytrichum, Plagiatecium, Sanionia and Barbilophozia) and one higher monocot plant species, Deschampsia antarctica, were further subjected to enzyme-linked immunosorbent assay to test for the presence of common plant viruses. Surprisingly, samples of Barbilophozia and Polytrichum mosses were found to contain antigens of viruses from the genus Tobamovirus, Tobacco mosaic virus and Cucumber green mottle mosaic virus, which normally parasitize angiosperms. By contrast, samples of the monocot Deschampsia antarctica were positive for viruses typically infecting dicots: Cucumber green mottle mosaic virus, Cucumber mosaic virus and Tomato spotted wilt virus. Serological data for Deschampsia antarctica were supported in part by transmission electron microscopy observations and bioassay results. The results demonstrate comparatively high diversity of plant viruses detected in Antarctica; the results also raise questions of virus specificity and host susceptibility, as the detected viruses normally infect dicotyledonous plants. However, the means of plant virus emergence in the region remain elusive and are discussed.</t>
  </si>
  <si>
    <t>Taras Shevchenko Kyiv Natl Univ, Dept Virol, UA-01033 Kiev, Ukraine</t>
  </si>
  <si>
    <t>Ministry of Education &amp; Science of Ukraine; Taras Shevchenko National University of Kyiv</t>
  </si>
  <si>
    <t>Polischuk, V (corresponding author), Taras Shevchenko Kyiv Natl Univ, Dept Virol, 2 Glushkova Pr, UA-01033 Kiev, Ukraine.</t>
  </si>
  <si>
    <t>virus@biocc.univ.kiev.ua</t>
  </si>
  <si>
    <t>Shevchenko, Tetiana/GON-4452-2022; Shevchenko, Tetiana/AAU-7000-2021</t>
  </si>
  <si>
    <t>Shevchenko, Tetiana/0000-0002-2250-3501; Shevchenko, Tetiana/0000-0002-2250-3501; Budzanivska, Iryna/0000-0003-2538-7312</t>
  </si>
  <si>
    <t>10.1111/j.1574-6941.2006.00242.x</t>
  </si>
  <si>
    <t>WOS:000243506800019</t>
  </si>
  <si>
    <t>Yergeau, E; Bokhorst, S; Huiskes, AHL; Boschker, HTS; Aerts, R; Kowalchuk, GA</t>
  </si>
  <si>
    <t>Yergeau, Etienne; Bokhorst, Stef; Huiskes, Ad H. L.; Boschker, Henricus T. S.; Aerts, Rien; Kowalchuk, George A.</t>
  </si>
  <si>
    <t>Size and structure of bacterial, fungal and nematode communities along an Antarctic environmental gradient</t>
  </si>
  <si>
    <t>Antarctica; PCR-DGGE; real-time PCR; bacterial communities; fungal communities; nematodes communities</t>
  </si>
  <si>
    <t>FREEZE-THAW CYCLES; ORGANIC-MATTER DECOMPOSITION; ISLAND ARCTOWSKI STATION; 16S RIBOSOMAL-RNA; CONTINENTAL ANTARCTICA; GEL-ELECTROPHORESIS; GROWTH TEMPERATURE; MICROBIAL BIOMASS; MOSS COMMUNITIES; CLIMATE-CHANGE</t>
  </si>
  <si>
    <t>The unusually harsh environmental conditions of terrestrial Antarctic habitats result in ecosystems with simplified trophic structures, where microbial processes are especially dominant as drivers of soil-borne nutrient cycling. We examined soil-borne Antarctic communities (bacteria, fungi and nematodes) at five locations along a southern latitudinal gradient from the Falkland Islands (51 degrees S) to the base of the Antarctic Peninsula (72 degrees S), and compared principally vegetated vs. fell-field locations at three of these sites. Results of molecular (denaturing gradient gel electrophoresis, real-time PCR), biochemical (ergosterol, phospholipid fatty acids) and traditional microbiological (temperature- and medium-related CFU) analyses were related to key soil and environmental properties. Microbial abundance generally showed a significant positive relationship with vegetation and vegetation-associated soil factors (e.g. water content, organic C, total N). Microbial community structure was mainly related to latitude or location and latitude-dependent factors (e.g. mean temperature, NO3, pH). Furthermore, strong interactions between vegetation cover and location were observed, with the effects of vegetation cover being most pronounced in more extreme sites. These results provide insight into the main drivers of microbial community size and structure across a range of terrestrial Antarctic and sub-Antarctic habitats, potentially serving as a useful baseline to study the impact of predicted global warming on these unique and pristine ecosystems.</t>
  </si>
  <si>
    <t>Netherlands Inst Ecol, Ctr Terr Ecol, NIOO, KNAW, NL-6666 ZG Heteren, Netherlands; Netherlands Inst Ecol, Ctr Marine &amp; Estuarine Ecol, NIOO, KNAW, Yerseke, Netherlands; Vrije Univ Amsterdam, Inst Ecol Sci, NL-1081 HV Amsterdam, Netherlands</t>
  </si>
  <si>
    <t>Royal Netherlands Academy of Arts &amp; Sciences; Netherlands Institute of Ecology (NIOO-KNAW); Royal Netherlands Academy of Arts &amp; Sciences; Netherlands Institute of Ecology (NIOO-KNAW); Vrije Universiteit Amsterdam</t>
  </si>
  <si>
    <t>Kowalchuk, GA (corresponding author), Netherlands Inst Ecol, Ctr Terr Ecol, NIOO, KNAW, POB 40, NL-6666 ZG Heteren, Netherlands.</t>
  </si>
  <si>
    <t>g.kowalchuk@nioo.knaw.nl</t>
  </si>
  <si>
    <t>Huiskes, Ad/C-3252-2011; Kowalchuk, George A/C-4298-2011; Boschker, Henricus T.S./A-8868-2011; Yergeau, Etienne/B-5344-2008; Bokhorst, Stef/D-1858-2009; Yergeau, Etienne/AAZ-6145-2020</t>
  </si>
  <si>
    <t>Yergeau, Etienne/0000-0002-7112-3425; Kowalchuk, George/0000-0003-3866-0832; Aerts, Rien/0000-0001-6694-0669; Bokhorst, Stef/0000-0003-0184-1162</t>
  </si>
  <si>
    <t>10.1111/j.1574-6941.2006.00200.x</t>
  </si>
  <si>
    <t>WOS:000243506800022</t>
  </si>
  <si>
    <t>Makowski, K; Bialkowska, A; Szczesna-Antczak, M; Kalinowska, H; Kur, J; Cieslinski, H; Turkiewicz, M</t>
  </si>
  <si>
    <t>Makowski, Krzysztof; Bialkowska, Aneta; Szczesna-Antczak, Miroslawa; Kalinowska, Halina; Kur, Jozef; Cieslinski, Hubert; Turkiewicz, Marianna</t>
  </si>
  <si>
    <t>Immobilized preparation of cold-adapted and halotolerant Antarctic β-galactosidase as a highly stable catalyst in lactose hydrolysis</t>
  </si>
  <si>
    <t>Antarctic; beta-galactosidase; immobilized enzyme; chitosan beads; lactose hydrolysis in cold</t>
  </si>
  <si>
    <t>CHITOSAN; PURIFICATION; INHIBITION; BACTERIUM</t>
  </si>
  <si>
    <t>A cold-active beta-galactosidase of Antarctic marine bacterium Pseudoalteromonas sp. 22b was synthesized by an Escherichia coli transformant harboring its gene and immobilized on glutaraldehyde-treated chitosan beads. Unlike the soluble enzyme the immobilized preparation was not inhibited by glucose, its apparent optimum temperature for activity was 10 degrees C higher (50 vs. 40 degrees C, respectively), optimum pH range was wider (pH 6-9 and 6-8, respectively) and stability at 50 degrees C was increased whilst its pH-stability remained unchanged. Soluble and immobilized preparations of Antarctic beta-galactosidase were active and stable in a broad range of NaCl concentrations (up to 3 M) and affected neither by calcium ions nor by galactose. The activity of immobilized beta-galactosidase was maintained for at least 40 days of continuous lactose hydrolysis at 15 degrees C and its shelf life at 4 degrees C exceeded 12 months. Lactose content in milk was reduced by more than 90% over a temperature range of 4-30 degrees C in continuous and batch systems employing the immobilized enzyme.</t>
  </si>
  <si>
    <t>Tech Univ Lodz, Inst Tech Biochem, PL-90924 Lodz, Poland; Gdansk Univ Technol, Dept Microbiol, PL-80952 Gdansk, Poland</t>
  </si>
  <si>
    <t>Lodz University of Technology; Fahrenheit Universities; Gdansk University of Technology</t>
  </si>
  <si>
    <t>Makowski, K (corresponding author), Tech Univ Lodz, Inst Tech Biochem, Ul Stefanowskiego 4-10, PL-90924 Lodz, Poland.</t>
  </si>
  <si>
    <t>krzymak@02.pl</t>
  </si>
  <si>
    <t>Białkowska, Aneta/P-4481-2019; Szczesna-Antczak, Mirosława/N-1692-2018</t>
  </si>
  <si>
    <t>Białkowska, Aneta/0000-0001-7319-238X; Szczesna-Antczak, Mirosława/0000-0002-0604-8895; Cieslinski, Hubert/0000-0003-0573-0830; Kalinowska, Halina/0000-0001-8902-0005; , Hubert/0000-0002-3504-2257</t>
  </si>
  <si>
    <t>10.1111/j.1574-6941.2006.00208.x</t>
  </si>
  <si>
    <t>WOS:000243506800030</t>
  </si>
  <si>
    <t>Marriott, RJ; Mapstone, BD; Begg, GA</t>
  </si>
  <si>
    <t>Marriott, R. J.; Mapstone, B. D.; Begg, G. A.</t>
  </si>
  <si>
    <t>Age-specific demographic parameters, and their implications for management of the red bass, Lutjanus bohar (Forsskal 1775):: A large, long-lived reef fish</t>
  </si>
  <si>
    <t>tropical reef fish; red bass; two-spot red snapper; Lutjanus bohar; age; growth; maturity; reproduction; great barrier reef</t>
  </si>
  <si>
    <t>NORTH-WEST SHELF; REPRODUCTIVE-BIOLOGY; MEGALOPS-ATLANTICUS; MORTALITY-RATES; LANE SNAPPER; VITTUS QUOY; GROWTH-RATE; FISHERIES; FLORIDA; SIZE</t>
  </si>
  <si>
    <t>Red bass, Lutjanus bohar, is a large tropical snapper (Lutjanidae) that is harvested to varying extents throughout a widespread Indo-Pacific distribution. The objective of this study was to estimate vital life history characteristics (age, growth, maturity) of red bass on the Great Barrier Reef, Australia, relevant to its management. The maximum estimated age of 55+ years is the oldest reported for any tropical snapper to date. The sampling of red bass from different depth ranges resulted in different age frequency distributions, suggesting that many older red bass reside at greater depths. The fit of the von Bertalanffy growth model described a trend of relatively slow growth: L-F (fork length; mm) = 630 x (1 - e(-0.10t+3.05)), with no significant difference in fitted parameter estimates between males and females. Female red bass matured at a much larger size (L-50 = 428 mm) and older age (t(50) = 9.39 years) than males (L-50 &lt; 300 mm, t(50) = 1.46 years) and were reproductively active over many months, from August to April. These results suggest that the red bass has a relatively K-selected life history strategy among the tropical snappers, and fish in general. This type of life history strategy predicts slow rates of turnover and a susceptibility of red bass populations to rapid over-exploitation. (c) 2006 Elsevier B.V. All rights reserved.</t>
  </si>
  <si>
    <t>James Cook Univ N Queensland, CRC, Reef Res Ctr, Townsville, Qld 4811, Australia; James Cook Univ N Queensland, Sch Marine Biol &amp; Aquaculture, Townsville, Qld 4811, Australia; Univ Tasmania, Antarctic Climate &amp; Ecosyst CRC, Hobart, Tas 7001, Australia; James Cook Univ N Queensland, Sch Trop Environm Studies &amp; Geog, Townsville, Qld 4811, Australia</t>
  </si>
  <si>
    <t>James Cook University; James Cook University; University of Tasmania; James Cook University</t>
  </si>
  <si>
    <t>Marriott, RJ (corresponding author), Western Australian Fisheries &amp; Marine Res Labs, POB 20, North Beach, WA 6920, Australia.</t>
  </si>
  <si>
    <t>rmarriott@fish.wa.gov.au</t>
  </si>
  <si>
    <t>Marriott, Ross/Y-4991-2019</t>
  </si>
  <si>
    <t>Marriott, Ross/0000-0002-8805-8498</t>
  </si>
  <si>
    <t>10.1016/j.fishres.2006.09.016</t>
  </si>
  <si>
    <t>131DA</t>
  </si>
  <si>
    <t>WOS:000243847200009</t>
  </si>
  <si>
    <t>Tyra, MA; Farquhar, J; Wing, BA; Benedix, GK; Jull, AJT; Jackson, T; Thiemens, MH</t>
  </si>
  <si>
    <t>Tyra, M. A.; Farquhar, J.; Wing, B. A.; Benedix, G. K.; Jull, A. J. T.; Jackson, T.; Thiemens, M. H.</t>
  </si>
  <si>
    <t>Terrestrial alteration of carbonate in a suite of Antarctic CM chondrites: Evidence from oxygen and carbon isotopes</t>
  </si>
  <si>
    <t>ALLAN HILLS 84001; WEATHERING PRODUCTS; ELEPHANT MORAINE; CLASS ASTEROIDS; SNC METEORITES; CI CHONDRITES; PARENT BODIES; PHYLLOSILICATES; DELTA-O-17; ORIGIN</t>
  </si>
  <si>
    <t>The oxygen (6180, 617 0) and carbon (delta C-13, FMOD C-14-the fraction of modern C-14) isotopic compositions of carbonate were measured for a set of paired Antarctic CM chondrites (EET 96006, EET 96016, EET 96017, and EET 96019). While the oxygen isotopic compositions do not plot on the terrestrial fractionation line and indicate that a component of the carbonate minerals has an extraterrestrial origin, they also do not fall on the array defined for carbonates by CM falls and are thus consistent with the presence of a terrestrial carbonate component. The delta C-13 and FMOD C-14 measurements of carbonate suggest the presence of at least two carbon sources: carbonate derived from atmospheric CO2 that is inferred to have been produced as a result of silicate weathering reactions and carbonate derived from another carbon source that is either old or non-atmospheric. The relationships between oxygen and carbon isotope data provide additional constraints on the weathering process, and allow the possibility that rock-dominated weathering of the meteorite caused the oxygen isotopic composition of Antarctic water added to the meteorite to evolve away from the terrestrial mass-fractionation array, leading to formation of low temperature terrestrial alteration products that do not lie on the terrestrial fractionation line. (c) 2006 Elsevier Inc. All rights reserved.</t>
  </si>
  <si>
    <t>Univ New Mexico, Dept Earth &amp; Planetary Sci, Albuquerque, NM 87131 USA; Univ Maryland, Dept Geol, College Pk, MD 21742 USA; Univ Maryland, ESSIC, College Pk, MD 21742 USA; Nat Hist Museum, Dept Mineral, London SW7 5BD, England; Univ Arizona, NSF Arizona AMS Lab, Tucson, AZ 85721 USA; Univ Calif San Diego, Dept Chem &amp; Biochem, Stable Isotope Lab, La Jolla, CA 92093 USA</t>
  </si>
  <si>
    <t>University of New Mexico; University System of Maryland; University of Maryland College Park; University System of Maryland; University of Maryland College Park; Natural History Museum London; National Science Foundation (NSF); University of Arizona; University of California System; University of California San Diego</t>
  </si>
  <si>
    <t>Tyra, MA (corresponding author), Univ New Mexico, Dept Earth &amp; Planetary Sci, Albuquerque, NM 87131 USA.</t>
  </si>
  <si>
    <t>matyra@unm.edu</t>
  </si>
  <si>
    <t>; Benedix, Gretchen/L-1953-2018</t>
  </si>
  <si>
    <t>Tyra, Mark/0000-0002-7148-8643; Benedix, Gretchen/0000-0003-0990-8878</t>
  </si>
  <si>
    <t>FEB 1</t>
  </si>
  <si>
    <t>10.1016/j.gca.2006.10.023</t>
  </si>
  <si>
    <t>132LQ</t>
  </si>
  <si>
    <t>WOS:000243944700019</t>
  </si>
  <si>
    <t>Smith, AM; Murray, T; Nicholls, KW; Makinson, K; Aoalgeirsdóttir, G; Behar, AE; Vaughan, DG</t>
  </si>
  <si>
    <t>Smith, A. M.; Murray, T.; Nicholls, K. W.; Makinson, K.; Aoalgeirsdottir, G.; Behar, A. E.; Vaughan, D. G.</t>
  </si>
  <si>
    <t>Rapid erosion, drumlin formation, and changing hydrology beneath an Antarctic ice stream</t>
  </si>
  <si>
    <t>subglacial environment; ice streams; drumlins; erosion</t>
  </si>
  <si>
    <t>BASAL CONDITIONS; SEDIMENT; GLACIER; FLOW; LAURENTIDE; SHEET; DISCHARGE; ALASKA; RATES; TILL</t>
  </si>
  <si>
    <t>What happens beneath a glacier affects the way it flows and the landforms left behind when it retreats. Direct observations from beneath glaciers are, however, rare and the subglacial environment remains poorly understood. We present new, repeat observations from West Antarctica that show active processes beneath a modern glacier which can normally only be postulated from the geological record. We interpret erosion at a rate of 1 m a(-1) beneath a fast-flowing ice stream, followed by cessation of erosion and the formation of a drumlin from mobilized sediment. We also interpret both mobilization and increased compaction of basal sediment with associated hydrological changes within the glacier bed. All these changes occurred on time scales of a few years or less. This variability suggests that an ice stream can reorganize its bed rapidly, and that present models of ice dynamics may not simulate all the relevant subglacial processes.</t>
  </si>
  <si>
    <t>British Antarctic Survey, NERC, Cambridge CB3 0ET, England; Univ Coll Swansea, Swansea SA2 8PP, W Glam, Wales; CALTECH, Jet Prop Lab, Pasadena, CA 91109 USA</t>
  </si>
  <si>
    <t>UK Research &amp; Innovation (UKRI); Natural Environment Research Council (NERC); NERC British Antarctic Survey; Swansea University; California Institute of Technology; National Aeronautics &amp; Space Administration (NASA); NASA Jet Propulsion Laboratory (JPL)</t>
  </si>
  <si>
    <t>N, Keith/E-9126-2010; Makinson, Keith/A-2495-2013; Vaughan, David/C-8348-2011; Adalgeirsdottir, Gudfinna/M-3073-2015</t>
  </si>
  <si>
    <t>Makinson, Keith/0000-0002-5791-1767; Murray, Tavi/0000-0001-6714-6512; Vaughan, David/0000-0002-9065-0570</t>
  </si>
  <si>
    <t>10.1130/G23036A.1</t>
  </si>
  <si>
    <t>132NC</t>
  </si>
  <si>
    <t>WOS:000243948500008</t>
  </si>
  <si>
    <t>Borisova, TD; Blagoveshchenskaya, NF; Kornienko, VA; Rietveld, MT</t>
  </si>
  <si>
    <t>Borisova, T. D.; Blagoveshchenskaya, N. F.; Kornienko, V. A.; Rietveld, M. T.</t>
  </si>
  <si>
    <t>Determining the ionospheric irregularity velocity vector based on Doppler measurements in the artificially modified F2 region of the polar ionosphere</t>
  </si>
  <si>
    <t>HF; TROMSO; STRIATIONS; LATITUDES; SHIFT; PHASE; FIELD</t>
  </si>
  <si>
    <t>The method for estimating the behavior of the ionospheric irregularity motion vector in the artificially disturbed HF ionospheric region has been proposed, and this behavior has been analyzed based on the simultaneous Doppler observations performed on several paths using the method of bi-static backscatter of diagnostic HF signals by small-scale artificial ionospheric irregularities. The Doppler measurements were performed during the modification of the auroral ionosphere by powerful HF radiowaves emitted by the EISCAT heating facility (Troms phi, Norway). It has been obtained that the dynamics of the ionospheric irregularity directions in the F region, calculated based on the Doppler measurements of the total vector of the ionospheric irregularity velocity above the Troms phi EISCAT radar at a frequency of 931 MHz, is in satisfactory agreement with such calculations performed using the three-position method.</t>
  </si>
  <si>
    <t>Russian Acad Sci, Arctic &amp; Antarctic Res Inst, St Petersburg 199397, Russia; EISCAT, Tromso Div, Tromso, Norway</t>
  </si>
  <si>
    <t>Russian Academy of Sciences; Arctic &amp; Antarctic Research Institute</t>
  </si>
  <si>
    <t>Borisova, TD (corresponding author), Russian Acad Sci, Arctic &amp; Antarctic Res Inst, Ul Beringa 38, St Petersburg 199397, Russia.</t>
  </si>
  <si>
    <t>Borisova, Tatiana/AAK-7698-2020; Blagoveshchenskaya, Nataly/AAE-4093-2022; Blagoveshchenskaya, Nataly F./S-4342-2017</t>
  </si>
  <si>
    <t>10.1134/S0016793207010124</t>
  </si>
  <si>
    <t>141LA</t>
  </si>
  <si>
    <t>WOS:000244578800012</t>
  </si>
  <si>
    <t>Vovk, VY; Egorova, LV</t>
  </si>
  <si>
    <t>Vovk, V. Ya.; Egorova, L. V.</t>
  </si>
  <si>
    <t>Role of solar activity in formation of the anomalous El Nin'o current</t>
  </si>
  <si>
    <t>SOUTHERN POLAR-REGION; ATMOSPHERIC CIRCULATION; WIND VARIATIONS; TEMPERATURE; WEATHER; PRESSURE; CLIMATE</t>
  </si>
  <si>
    <t>Monthly indices of Southern Atmospheric Oscillation (SOI) and corresponding Wolf numbers, geoeffective solar flares, magnetic AE indices as well as daily average values of the southward component of the interplanetary magnetic field ( IMF B(z)) and data on the wind characteristics at Antarctic stations Vostok, Leningradskaya, and Russkaya are analyzed. It is shown that a sharp decrease in the SOI indices, which corresponds to the beginning of El Nin'o ( ENSO), is preceded one or two months before by a 20% increase in the monthly average Wolf numbers. In warm years of Southern Atmospheric Oscillation a linear relationship is observed between the SOI indices and the number of geoeffective solar flares with correlation coefficients p &lt;-0.5. It is shown that in warm years a change in the general direction of the surface wind to anomalous at the above stations is preceded one or two days before by an increase in the daily average values of IMF B(z). An increase in the SOI indices is preceded one or two months before by a considerable increase in the monthly average values of the magnetic AE indices.</t>
  </si>
  <si>
    <t>Vovk, VY (corresponding author), Arctic &amp; Antarctic Res Inst, Ul Beringa 38, St Petersburg 199397, Russia.</t>
  </si>
  <si>
    <t>10.1134/S0016793207010148</t>
  </si>
  <si>
    <t>WOS:000244578800014</t>
  </si>
  <si>
    <t>Valenzuela, M; Abdu, Y; Scorzelli, RB; Duttine, M; Morata, D; Munayco, P</t>
  </si>
  <si>
    <t>Valenzuela, M.; Abdu, Y.; Scorzelli, R. B.; Duttine, M.; Morata, D.; Munayco, P.</t>
  </si>
  <si>
    <t>Room temperature 57Fe Mossbauer spectroscopy of ordinary chondrites from the Atacama Desert (Chile):: constraining the weathering processes on desert meteorites</t>
  </si>
  <si>
    <t>HYPERFINE INTERACTIONS</t>
  </si>
  <si>
    <t>weathered ordinary chondrites; iron oxi-hydroxides; hot desert environments; Atacama Desert</t>
  </si>
  <si>
    <t>ANTARCTIC METEORITES; AGE</t>
  </si>
  <si>
    <t>We report the results of a study on the weathering products of 21 meteorites found in the Atacama Desert (Chile) using room temperature Fe-57 Mossbauer spectroscopy (MS). The meteorites are weathered ordinary chondrites (OCs) with unknown terrestrial ages and include the three chemical groups (H, L, and LL). We obtained the percentage of all the Fe-bearing phases for the primary minerals: olivine, pyroxene, troilite and Fe-Ni metal, and for the ferric alteration products (composed of the paramagnetic Fe3+ component and the magnetically ordered Fe3+ components) which gives the percentage of oxidation of the samples. From the Mossbauer absorption areas of these oxides, the terrestrial oxidation of the Atacama OC was found in the range from similar to 5% to similar to 60%. The amount of silicates as well as the opaques decreases at a constant rate with increasing oxidation level.</t>
  </si>
  <si>
    <t>[Valenzuela, M.; Morata, D.] Univ Chile, Dept Geol, Santiago, Chile; [Abdu, Y.; Scorzelli, R. B.; Duttine, M.; Munayco, P.] CBPF MCT, Rio De Janeiro, Brazil</t>
  </si>
  <si>
    <t>Universidad de Chile; Centro Brasileiro de Pesquisas Fisicas</t>
  </si>
  <si>
    <t>Valenzuela, M (corresponding author), Univ Chile, Dept Geol, Plaza Ercilla 803, Santiago, Chile.</t>
  </si>
  <si>
    <t>edvalenz@cec.uchile.cl; scorza@cbpf.br</t>
  </si>
  <si>
    <t>Abdu, Yassir A./AAS-5788-2021; Munayco, Pablo/H-8193-2012; Scorzelli, Rosa/AAU-6837-2021; Munayco, Pablo/AAG-6508-2019; Morata, Diego/G-4871-2016</t>
  </si>
  <si>
    <t>Munayco, Pablo/0000-0003-0961-4626; Munayco, Pablo/0000-0003-0961-4626; Morata, Diego/0000-0002-9751-2429; Abdu, Yassir A./0000-0003-4432-6486; Duttine, Mathieu/0000-0002-6120-8716</t>
  </si>
  <si>
    <t>0304-3843</t>
  </si>
  <si>
    <t>1572-9540</t>
  </si>
  <si>
    <t>HYPERFINE INTERACT</t>
  </si>
  <si>
    <t>Hyperfine Interact.</t>
  </si>
  <si>
    <t>10.1007/s10751-008-9581-4</t>
  </si>
  <si>
    <t>Physics, Atomic, Molecular &amp; Chemical; Physics, Condensed Matter; Physics, Nuclear</t>
  </si>
  <si>
    <t>315WN</t>
  </si>
  <si>
    <t>WOS:000256911000002</t>
  </si>
  <si>
    <t>Brenner, AC; DiMarzio, JR; Zwally, HJ</t>
  </si>
  <si>
    <t>Brenner, Anita C.; DiMarzio, John R.; Zwally, H. Jay</t>
  </si>
  <si>
    <t>Precision and accuracy of satellite radar and laser altimeter data over the continental ice sheets</t>
  </si>
  <si>
    <t>altimetry; ice; laser measurements; radar altimetry; remote sensing</t>
  </si>
  <si>
    <t>ELEVATION CHANGE; PENETRATION; DEPTH</t>
  </si>
  <si>
    <t>The unprecedented accuracy of elevations retrieved from the Ice Cloud and Land Elevation Satellite (ICESat) laser altimeter is investigated and used to characterize the range errors in the Environmental Satellite (Envisat) and European Remote Sensing 2 Satellite (ERS-2) radar altimeters over the continental ice sheets. Cross-mission crossover analysis between time-coincident ERS-2-, Envisat-, and ICESat-retrieved elevations and comparisons to an ICESat-derived digital elevation map are used to quantify the radar elevation error budget as a function of surface slope and to investigate the effectiveness of a method to account for the radar altimeter slope-induced error. The precision and accuracy of the elevations retrieved from the ICESat Geoscience Laser Altimeter System and the European Space Agency radar altimeters on ERS-2 and Envisat are calculated over the Greenland and Antarctic ice sheets using a crossover analysis. As a result of this work, the laser precision is found to vary as a function of surface slope from 14 to 59 cm, and the radar precision varies from 59 cm to 3.7 m for ERS-2 and from 28 cm to 2.06 m for Envisat. Envisat elevation retrievals when compared with ICESat results over regions with less than 0.1 degrees surface slopes show a mean difference of 9 +/- 5 cm for Greenland and -40 +/- 98 cm over Antarctica. ERS-2 elevation retrievals over these same low surface slope regions differ from ICESat results by -56 +/- 72 cm over Greenland and 1.12 +/- 1.16 m over Antarctica. At higher surface slopes of 0.7 degrees to 0.8 degrees, the Envisat/ICESat differences increase to -2.27 +/- 23 m over Greenland and to 0.05 +/- 26 m over Antarctica.</t>
  </si>
  <si>
    <t>Sci Applicat Int Corp, Lanham, MD 20706 USA; NASA, Goddard Space Flight Ctr, Greenbelt, MD 20771 USA</t>
  </si>
  <si>
    <t>Science Applications International Corporation (SAIC); National Aeronautics &amp; Space Administration (NASA); NASA Goddard Space Flight Center</t>
  </si>
  <si>
    <t>Brenner, AC (corresponding author), Sci Applicat Int Corp, Lanham, MD 20706 USA.</t>
  </si>
  <si>
    <t>Anita_Brenner@ssaihq.com; john.p.dimarzio@gsfc.nasa.gov; H.J.Zwally@nasa.gov</t>
  </si>
  <si>
    <t>10.1109/TGRS.2006.887172</t>
  </si>
  <si>
    <t>131GU</t>
  </si>
  <si>
    <t>WOS:000243857700004</t>
  </si>
  <si>
    <t>Park, M; Ryu, SH; Vu, THT; Ro, HS; Yun, PY; Jeon, CO</t>
  </si>
  <si>
    <t>Park, Minjeong; Ryu, Seung Hyun; Vu, Thu-Huong Thi; Ro, Hyeon-Su; Yun, Pil-Yong; Jeon, Che Ok</t>
  </si>
  <si>
    <t>Flavobacterium defluvii sp nov., isolated from activated sludge</t>
  </si>
  <si>
    <t>INTERNATIONAL JOURNAL OF SYSTEMATIC AND EVOLUTIONARY MICROBIOLOGY</t>
  </si>
  <si>
    <t>EMENDED DESCRIPTION; ANTARCTIC LAKES; MICROBIAL MATS; HALOPHILIC BACTERIUM; COMB. NOV; GEN. NOV.; RECLASSIFICATION; PSYCHROPHILES; TAXONOMY; FAMILY</t>
  </si>
  <si>
    <t>A Gram-negative bacterium, designated strain EMB117(T), was isolated from a municipal wastewater treatment plant and characterized by polyphasic taxonomy. The cells were non-spore-forming rods that showed gliding motility. Optimal growth occurred at 25-30 degrees C and pH 7.0-8.0. Strain EMB117(T) contained phosphaticlylethanolamine as the predominant polar lipid, and the major fatty acids were iso-C-15:0, iSO-Cl-17:0 3-OH, iSO-C-15:0 3-OH and summed feature 3 (C-16: 1 omega 7c and/or iSO-Cl-15:0 2-OH). The G + C content of the genomic DNA was 33.5 mol% and the major isoprenoid quinone was MK-6. A phylogenetic analysis based on 16S rRNA gene sequences showed that strain EMB1 17 T belonged to the genus Flavobacterium and was most closely related to Flavobacterium johnsoniae DSM 425(T) (97.8% sequence similarity). The DNA-DNA relatedness between strain EMB117(T) and F johnsoniae ATCC 17061(T) was about 18%. On the basis of the phenotypic, chemotaxonomic and molecular data, strain EMB117(T) represents a novel species within the genus Flavobacterium, for which the name Flavobacterium defluvii sp. nov. is proposed. The type strain is EMB117(T) (=KCTC 12612(T) =DSM 17963(T)).</t>
  </si>
  <si>
    <t>Gyeongsang Natl Univ, PMBBRC, EBNCRC, Div Appl Life Sci, Jinju 660701, South Korea; Gyeongsang Natl Univ, Dept Microbiol, Jinju 660701, South Korea; Gyeongsang Natl Univ, Life Sci Res Inst, Jinju 660701, South Korea; Jeju Hitech Ind Dev Inst, Cheju 690121, South Korea</t>
  </si>
  <si>
    <t>Gyeongsang National University; Gyeongsang National University; Gyeongsang National University</t>
  </si>
  <si>
    <t>Jeon, CO (corresponding author), Gyeongsang Natl Univ, PMBBRC, EBNCRC, Div Appl Life Sci, Jinju 660701, South Korea.</t>
  </si>
  <si>
    <t>cojeon@gnu.ac.kr</t>
  </si>
  <si>
    <t>Ro, Hyeon-Su/JAO-0708-2023; Ro, Hyeon-Su/V-7023-2019</t>
  </si>
  <si>
    <t>SOC GENERAL MICROBIOLOGY</t>
  </si>
  <si>
    <t>READING</t>
  </si>
  <si>
    <t>MARLBOROUGH HOUSE, BASINGSTOKE RD, SPENCERS WOODS, READING RG7 1AG, BERKS, ENGLAND</t>
  </si>
  <si>
    <t>1466-5026</t>
  </si>
  <si>
    <t>INT J SYST EVOL MICR</t>
  </si>
  <si>
    <t>Int. J. Syst. Evol. Microbiol.</t>
  </si>
  <si>
    <t>10.1099/ijs.0.64669-0</t>
  </si>
  <si>
    <t>141KL</t>
  </si>
  <si>
    <t>WOS:000244577200008</t>
  </si>
  <si>
    <t>Cousin, S; Päuker, O; Stackebrandt, E</t>
  </si>
  <si>
    <t>Cousin, Sylvie; Paeuker, Orsola; Stackebrandt, Erko</t>
  </si>
  <si>
    <t>Flavobacterium aquidurense sp nov and Flavobacterium hercynium sp nov., from a hard-water creek</t>
  </si>
  <si>
    <t>ANTARCTIC LAKES; MICROBIAL MATS; FAMILY FLAVOBACTERIACEAE; EMENDED DESCRIPTION; GEN.-NOV.; BACTERIA; DNA; PSYCHROPHILES; RENATURATION; PROPOSAL</t>
  </si>
  <si>
    <t>Ten new Flavobacterium-like strains were isolated from freshwater of the hard-water creek Westerhofer Bach, northern Germany. These strains formed two phylogenetic groups: strains WB 1.1-56(T), WB 1.1 -04, WB 1.1 -14, WB 1.1 -57 and WB 1.1 -63; and strains WB 4.2-33(T), WB 4.1-86, WB 4.2-34, WB 4.2-32 and WB 4.2-78. Cells were Gram-negative, yellow-pigmented, chemoheterotrophic rods. Their major fatty acid profiles were similar, consisting of iso-C-15: 0, iso-C-15:0 3-OH, iso-C-17.0 3-OH and summed feature 3 (C-16: 1 omega 7c and/or iso-C-15:0 2-OH). DNA G + C contents for strains WB 1.1-56(T) and WB 4.2-33(T) were 33.5 and 37.5 mol%, respectively. Phylogenetic analysis based on almost complete 16S rRNA gene sequences indicated that strain WB 1.1 -56(T) was phylogenetically most closely related to Flavobacterium frigidimaris KUC-1(T), and that strain WB 4.2-33(T) was related most closely to F frigidimaris KUC-1(T) and Flavobacterium saccharophilum DSM 1811(T). Levels of 16S rRNA gene sequence similarity between strains WB 1.1-56 T and WB 4.2-33 T and the type strains of recognized members of the genus Flavobacterium were below 98%. DNA-DNA hybridization experiments confirmed the separate genomic status of strains WB 1.1-56(T) and WB 4.2-33(T). Strains WB 1.1-56(T) and WB 4.2-33(T) and their respective relatives differed from phylogenetically related Flavobacterium species based on several phenotypic characteristics. On the basis of their phenotypic and phylogenetic; distinctiveness, the two groups of strains are considered to represent two novel species, for which the names Flavobacterium aquidurense sp. nov, (type strain WB 1.1-56(T) =DSM 18293(T)=ClP 109242(T)) and Flavobacterium hercynium sp. nov. (type strain WB 4.2-33(T) =DSM 18292(T)=ClP 10924 1(T)) are proposed.</t>
  </si>
  <si>
    <t>DSMZ GmbH, D-38124 Braunschweig, Germany</t>
  </si>
  <si>
    <t>Leibniz Institut fur Deutsche Sammlung von Mikroorganismen und Zellkulturen (DSMZ)</t>
  </si>
  <si>
    <t>Cousin, S (corresponding author), DSMZ GmbH, Mascheroder Weg 1B, D-38124 Braunschweig, Germany.</t>
  </si>
  <si>
    <t>sylvie.cousin@dsmz.de</t>
  </si>
  <si>
    <t>Stackebrandt, Erko/0000-0002-6130-760X</t>
  </si>
  <si>
    <t>10.1099/ijs.0.64556-0</t>
  </si>
  <si>
    <t>WOS:000244577200010</t>
  </si>
  <si>
    <t>Fischer, AC; Steinebach, OM; Timmermans, KR; Wolterbeek, HT</t>
  </si>
  <si>
    <t>Fischer, A. C.; Steinebach, O. M.; Timmermans, K. R.; Wolterbeek, H. T.</t>
  </si>
  <si>
    <t>A method for the destruction and analysis of biogenic silicon in two Antarctic diatom species:: Thalassiosira sp and Chaetoceros brevis</t>
  </si>
  <si>
    <t>JOURNAL OF APPLIED PHYCOLOGY</t>
  </si>
  <si>
    <t>Chaetoceros brevis; digestion; inductively coupled plasma-optical emission spectroscopy; seawater; silicon; Thalassiosira sp.</t>
  </si>
  <si>
    <t>SOUTHERN-OCEAN; PHYTOPLANKTON GROWTH; IRON FERTILIZATION; AVAILABILITY; DYNAMICS; WATERS; FILTER; BLOOM; FE; CO</t>
  </si>
  <si>
    <t>Diatoms in the Southern Ocean are limited by iron and light, and therefore produce little biomass. Sufficient biomass for analysis under these conditions requires large sample volumes, and diatom samples are therefore often pre-concentrated on a filter. A method for the digestion of diatom cells on polycarbonate filters, that is also suitable for trace metal analysis, is described here. Additional analysis by inductively coupled plasma-optical emission spectroscopy (ICP-OES) is used for the determination of biogenic silicon. Although several procedures were tested, the method of Hauptkorn et al., which uses tetramethylammonium hydroxide for the destruction of silicon is adapted here [Hauptkorn et al. (2001) Fres J Anal Chem 370: 246-250]. Additional nitric acid is added to destroy the polycarbonate filters. The described method results in clear digests and a good correlation between cell numbers and silicon content. Using this procedure, the cellular silicon content for Chaetoceros brevis was determined as 86 +/- 4 fmol cell(-1). For Thalassiosira sp. a sensitivity effect was observed, and silicon content was determined as Si = 4.2 x 10 (-7) (1-exp(-2.2 x 10-7 cells)). The obtained cellular silicon contents are in good agreement with values presented in the literature.</t>
  </si>
  <si>
    <t>Delft Univ Technol, Fac Sci Appl, Dept Radiat &amp; Radionuclides &amp; Reactors, NL-2629 JB Delft, Netherlands; Royal Netherlands Inst Sea Res, Dept Marine Chem &amp; Geol, NL-1790 AB Den Burg, Netherlands</t>
  </si>
  <si>
    <t>Delft University of Technology; Utrecht University; Royal Netherlands Institute for Sea Research (NIOZ)</t>
  </si>
  <si>
    <t>Fischer, AC (corresponding author), Delft Univ Technol, Fac Sci Appl, Dept Radiat &amp; Radionuclides &amp; Reactors, Mekelweg 15, NL-2629 JB Delft, Netherlands.</t>
  </si>
  <si>
    <t>science@astrid.thatsme.nl</t>
  </si>
  <si>
    <t>Fischer, Astrid/AAB-1687-2020</t>
  </si>
  <si>
    <t>Fischer, Astrid/0000-0002-7273-325X; timmermans, klaas/0000-0002-3214-4354</t>
  </si>
  <si>
    <t>0921-8971</t>
  </si>
  <si>
    <t>1573-5176</t>
  </si>
  <si>
    <t>J APPL PHYCOL</t>
  </si>
  <si>
    <t>J. Appl. Phycol.</t>
  </si>
  <si>
    <t>10.1007/s10811-006-9112-0</t>
  </si>
  <si>
    <t>142ZH</t>
  </si>
  <si>
    <t>WOS:000244689300008</t>
  </si>
  <si>
    <t>Stouffer, RJ; Seidov, D; Haupt, BJ</t>
  </si>
  <si>
    <t>Stouffer, Ronald J.; Seidov, Dan; Haupt, Bernd J.</t>
  </si>
  <si>
    <t>Climate response to external sources of freshwater: North Atlantic versus the Southern Ocean</t>
  </si>
  <si>
    <t>THERMOHALINE CIRCULATION; GLACIAL CLIMATE; SIMULATIONS; MODEL; ANTARCTICA; GREENLAND; MELTWATER; HEINRICH; SEESAW; INPUT</t>
  </si>
  <si>
    <t>The response of an atmosphere-ocean general circulation model (AOGCM) to perturbations of freshwater fluxes across the sea surface in the North Atlantic and Southern Ocean is investigated. The purpose of this study is to investigate aspects of the so-called bipolar seesaw where one hemisphere warms and the other cools and vice versa due to changes in the ocean meridional overturning. The experimental design is idealized where 1 Sv (1 Sv equivalent to 10(6) m(3) s(-1)) of freshwater is added to the ocean surface for 100 model years and then removed. In one case, the freshwater perturbation is located in the Atlantic Ocean from 50 degrees to 70 degrees N. In the second case, it is located south of 60 degrees S in the Southern Ocean. In the case where the North Atlantic surface waters are freshened, the Atlantic thermohaline circulation (THC) and associated northward oceanic heat transport weaken. In the Antarctic surface freshening case, the Atlantic THC is mainly unchanged with a slight weakening toward the end of the integration. This weakening is associated with the spreading of the fresh sea surface anomaly from the Southern Ocean into the rest of the World Ocean. There are two mechanisms that may be responsible for such weakening of the Atlantic THC. First is that the sea surface salinity (SSS) contrast between the North Atlantic and North Pacific is reduced. And, second, when freshwater from the Southern Ocean reaches the high latitudes of the North Atlantic Ocean, it hinders the sinking of the surface waters, leading to the weakening of the THC. The spreading of the fresh SSS anomaly from the Southern Ocean into the surface waters worldwide was not seen in earlier experiments. Given the geography and climatology of the Southern Hemisphere where the climatological surface winds push the surface waters northward away from the Antarctic continent, it seems likely that the spreading of the fresh surface water anomaly could occur in the real world. A remarkable symmetry between the two freshwater perturbation experiments in the surface air temperature (SAT) response can be seen. In both cases, the hemisphere with the freshwater perturbation cools, while the opposite hemisphere warms slightly. In the zonally averaged SAT figures, both the magnitude and the pattern of the anomalies look similar between the two cases. The oceanic response, on the other hand, is very different for the two freshwater cases, as noted above for the spreading of the SSS anomaly and the associated THC response. If the differences between the atmospheric and oceanic responses apply to the real world, then the interpretation of paleodata may need to be revisited. To arrive at a correct interpretation, it matters whether or not the evidence is mainly of atmospheric or oceanic origin. Also, given the sensitivity of the results to the exact details of the freshwater perturbation locations, especially in the Southern Hemisphere, a more realistic scenario must be constructed to explore these questions.</t>
  </si>
  <si>
    <t>Geophys Fluid Dynam Lab, Princeton, NJ 08542 USA; Penn State Univ, University Pk, PA 16802 USA</t>
  </si>
  <si>
    <t>National Oceanic Atmospheric Admin (NOAA) - USA; Pennsylvania Commonwealth System of Higher Education (PCSHE); Pennsylvania State University; Pennsylvania State University - University Park</t>
  </si>
  <si>
    <t>Stouffer, RJ (corresponding author), Geophys Fluid Dynam Lab, Princeton, NJ 08542 USA.</t>
  </si>
  <si>
    <t>ronald.stouffer@noaa.gov</t>
  </si>
  <si>
    <t>Seidov, Dan/0000-0001-7090-9779</t>
  </si>
  <si>
    <t>10.1175/JCLI4015.1</t>
  </si>
  <si>
    <t>134OP</t>
  </si>
  <si>
    <t>WOS:000244093000004</t>
  </si>
  <si>
    <t>Town, MS; Walden, VP; Warren, SG</t>
  </si>
  <si>
    <t>Town, Michael S.; Walden, Von P.; Warren, Stephen G.</t>
  </si>
  <si>
    <t>Cloud cover over the South Pole from visual observations, satellite retrievals, and surface-based infrared radiation measurements</t>
  </si>
  <si>
    <t>LONGWAVE IRRADIANCE UNCERTAINTY; CLIMATE-RESEARCH; ARCTIC SURFACE; PATHFINDER DATASET; ANTARCTIC PLATEAU; RECENT TRENDS; PART I; ISCCP; VARIABILITY; SKY</t>
  </si>
  <si>
    <t>Estimates of cloud cover over the South Pole are presented from five different data sources: routine visual observations (1957-2004; C-vis), surface-based spectral infrared (IR) data (2001; C-PAERI), surface-based broadband IR data (1994-2003; C-pyr), the Extended Advanced Very High Resolution Radiometer (AVHRR) Polar Pathfinder (APP-x) dataset (1994-99; CAPP-x), and the International Satellite Cloud Climatology Project (ISCCP) dataset (1994-2003; C-ISCCP). The seasonal cycle of cloud cover is found to range from 45%-50% during the short summer to a relatively constant 55%-65% during the winter. Relationships between C-pyr, and 2-m temperature, 10-m wind speed and direction, and longwave radiation are investigated. It is shown that clouds warm the surface in all seasons, 0.5-1 K during summer and 3-4 K during winter. The I annual longwave cloud radiative forcing is 18 W m(-2) for downwelling radiation and 10 W m(-2) for net radiation. The cloud cover datasets are intercompared during the time periods in which they overlap. The nighttime bias of C-vis is worse than previously suspected, by approximately -20%; C-ISCCP shows some skill during the polar day, while CAPP-x shows some skill at night. The polar cloud masks for the satellite data reviewed here are not yet accurate enough to reliably derive, surface or cloud properties over the East Antarctic Plateau. The best surface-based source of cloud cover in terms of the combination of accuracy and length of record is determined to be C-pyr. The use of the C-pyr dataset for further tests of satellite retrievals and for tests of polar models is recommended.</t>
  </si>
  <si>
    <t>Univ Washington, Dept Atmospher Sci, Seattle, WA 98195 USA; Univ Idaho, Dept Geog, Moscow, ID 83843 USA; Univ Washington, Dept Atmospher Sci, Seattle, WA 98195 USA</t>
  </si>
  <si>
    <t>University of Washington; University of Washington Seattle; Idaho; University of Idaho; University of Washington; University of Washington Seattle</t>
  </si>
  <si>
    <t>Town, MS (corresponding author), Univ Washington, Dept Atmospher Sci, Box 351640, Seattle, WA 98195 USA.</t>
  </si>
  <si>
    <t>mstown@atmos.washington.edu</t>
  </si>
  <si>
    <t>10.1175/JCLI4005.1</t>
  </si>
  <si>
    <t>WOS:000244093000011</t>
  </si>
  <si>
    <t>Helsen, MM; Van de Wal, RSW; Van den Broeke, MR</t>
  </si>
  <si>
    <t>Helsen, M. M.; Van de Wal, R. S. W.; Van den Broeke, M. R.</t>
  </si>
  <si>
    <t>The isotopic composition of present-day Antarctic snow in a Lagrangian atmospheric simulation</t>
  </si>
  <si>
    <t>DRONNING-MAUD-LAND; SURFACE MASS-BALANCE; GENERAL-CIRCULATION MODEL; STABLE-ISOTOPES; BACKWARD TRAJECTORIES; SEASONAL-VARIATIONS; WATER ISOTOPES; TIME-VARIATION; DELTA-D; PRECIPITATION</t>
  </si>
  <si>
    <t>The isotopic composition of present-day Antarctic snow is simulated for the period September 1980 August 2002 using a Rayleigh-type isotope distillation model in combination with backward trajectory calculations with 40- yr European Centre for Medium-Range Weather Forecasts ( ECMWF) Re-Analysis ( ERA-40) data as meteorological input. Observed spatial isotopic gradients are correctly reproduced, especially in West Antarctica and in the coastal areas. However, isotopic depletion of snow on the East Antarctic plateau is underestimated, a problem that is also observed in general circulation models equipped with isotope tracers. The spatial isotope - temperature relation varies strongly, which indicates that this widely used relation is not applicable to all sites and temporal scales. Spatial differences in the seasonal amplitude are identified, with maximum values in the Antarctic interior and hardly any seasonal isotope signature in Marie Byrd Land, West Antarctica. The modeled signature of deuterium excess remains largely preserved during the last phase of transport, though the simulated relation of deuterium excess with delta O-18 suggests that parameterizations of kinetic isotopic fractionation can be improved.</t>
  </si>
  <si>
    <t>Inst Marine &amp; Atmospher Res Utrecht, NL-3508 TA Utrecht, Netherlands</t>
  </si>
  <si>
    <t>Helsen, MM (corresponding author), Inst Marine &amp; Atmospher Res Utrecht, POB 80000, NL-3508 TA Utrecht, Netherlands.</t>
  </si>
  <si>
    <t>m.m.helsen@phys.uu.nl</t>
  </si>
  <si>
    <t>van de wal, roderik/D-1705-2011; Van den Broeke, Michiel R./F-7867-2011</t>
  </si>
  <si>
    <t>van de wal, roderik/0000-0003-2543-3892; Van den Broeke, Michiel R./0000-0003-4662-7565</t>
  </si>
  <si>
    <t>10.1175/JCLI4027.1</t>
  </si>
  <si>
    <t>134RR</t>
  </si>
  <si>
    <t>WOS:000244102100008</t>
  </si>
  <si>
    <t>Benoit, JB; Yoder, JA; Lopez-Martinez, G; Elnitsky, MA; Lee, RE; Denlinger, DL</t>
  </si>
  <si>
    <t>Benoit, J. B.; Yoder, J. A.; Lopez-Martinez, G.; Elnitsky, M. A.; Lee, R. E., Jr.; Denlinger, D. L.</t>
  </si>
  <si>
    <t>Habitat requirements of the seabird tick, Ixodes uriae (Acari: Ixodidae), from the Antarctic Peninsula in relation to water balance characteristics of eggs, nonfed and engorged stages</t>
  </si>
  <si>
    <t>JOURNAL OF COMPARATIVE PHYSIOLOGY B-BIOCHEMICAL SYSTEMS AND ENVIRONMENTAL PHYSIOLOGY</t>
  </si>
  <si>
    <t>water balance; dehydration; tick; Ixodes; Antarctica</t>
  </si>
  <si>
    <t>LONE STAR TICK; RHIPICEPHALUS-SANGUINEUS IXODIDAE; HAEMAPHYSALIS-LONGICORNIS; HUMIDITY PREFERENCES; AMBLYOMMA-AMERICANUM; TEMPERATURE; MAINTENANCE; HOLOCYCLUS; BEETLE; CYCLE</t>
  </si>
  <si>
    <t>The seabird tick Ixodes uriae is exposed to extreme environmental conditions during the off-host phase of its life cycle on the Antarctic Peninsula. To investigate how this tick resists desiccation, water requirements of each developmental stage were determined. Features of I. uriae water balance include a high percentage body water content, low dehydration tolerance limit, and a high water loss rate, which are characteristics that classify this tick as hydrophilic. Like other ticks, I. uriae relies on water vapor uptake as an unfed larva and enhanced water retention in the adult, while nymphs are intermediate and exploit both strategies. Stages that do not absorb water vapor, eggs, fed larvae and fed nymphs, rely on water conservation. Other noteworthy features include heat sensitivity that promotes water loss in eggs and unfed larvae, an inability to drink free water from droplets, and behavioral regulation of water loss by formation of clusters. We conclude that I. uriae is adapted for life in a moisture-rich environment, and this requirement is met by clustering in moist, hydrating, microhabitats under rocks and debris that contain moisture levels that are higher than the tick's critical equilibrium activity.</t>
  </si>
  <si>
    <t>Ohio State Univ, Dept Entomol, Columbus, OH 43210 USA; Wittenberg Univ, Dept Biol, Springfield, OH 45501 USA; Miami Univ, Dept Zool, Oxford, OH 45056 USA</t>
  </si>
  <si>
    <t>University System of Ohio; Ohio State University; University System of Ohio; Wittenberg University; University System of Ohio; Miami University</t>
  </si>
  <si>
    <t>Benoit, JB (corresponding author), Ohio State Univ, Dept Entomol, Columbus, OH 43210 USA.</t>
  </si>
  <si>
    <t>benoit.8@osu.edu; jyoder@wittenberg.edu; lopez-martinez.1@osu.edu; elnitsma@muohio.edu; leere@muohio.edu; denlinger.1@osu.edu</t>
  </si>
  <si>
    <t>Lopez-Martinez, Giancarlo/AAE-8134-2020; Lopez-Martinez, Giancarlo/D-1718-2011</t>
  </si>
  <si>
    <t>0174-1578</t>
  </si>
  <si>
    <t>1432-136X</t>
  </si>
  <si>
    <t>J COMP PHYSIOL B</t>
  </si>
  <si>
    <t>J. Comp. Physiol. B-Biochem. Syst. Environ. Physiol.</t>
  </si>
  <si>
    <t>10.1007/s00360-006-0122-7</t>
  </si>
  <si>
    <t>131XR</t>
  </si>
  <si>
    <t>WOS:000243906300006</t>
  </si>
  <si>
    <t>Slabber, S; Worland, MR; Leinaas, HP; Chown, SL</t>
  </si>
  <si>
    <t>Slabber, Sarette; Worland, M. Roger; Leinaas, Hans Petter; Chown, Steven L.</t>
  </si>
  <si>
    <t>Acclimation effects on thermal tolerances of springtails from sub-Antarctic Marion Island: Indigenous and invasive species</t>
  </si>
  <si>
    <t>cold tolerance; phenotypic plasticity; supercooling point; upper thermal limits</t>
  </si>
  <si>
    <t>SOUTHERN-OCEAN ISLANDS; INSECT COLD-HARDINESS; CLIMATE-CHANGE; CRYPTOPYGUS-ANTARCTICUS; PHENOTYPIC PLASTICITY; BIOLOGICAL INVASIONS; TERRESTRIAL ARTHROPODS; MIDALTITUDE FELLFIELD; TEMPERATE COLLEMBOLA; SUPERCOOLING POINTS</t>
  </si>
  <si>
    <t>Collembola are abundant and functionally significant arthropods in sub-Antarctic terrestrial ecosystems, and their importance has increased as a consequence of the many invasive alien species that have been introduced to the region. It has also been predicted that current and future climate change will favour alien over indigenous species as a consequence of more favourable responses to warming in the former. It is therefore surprising that little is known about the environmental physiology of sub-Antarctic springtails and that few studies have explicitly tested the hypothesis that invasive species will outperform indigenous ones under warmer conditions. Here we present thermal tolerance data on three invasive (Pogonognathellus flavescens, Isotomurus cf. palustris, Ceratophysella denticulata) and two indigenous (Cryptopygus antarcticus, Tullbergia bisetosa) species of springtails from Marion Island, explicitly testing the idea that consistent differences exist between the indigenous and invasive species both in their absolute limits and the ways in which they respond to acclimation (at temperatures from 0 to 20 degrees C). Phenotypic plasticity is the first in a series of ways in which organisms might respond to altered environments. Using a poorly explored, but highly appropriate technique, we demonstrate that in these species the crystallization temperature (T-c) is equal to the lower lethal temperature. We also show that cooling rate (I degrees C min(-1); 0.1 degrees C min(-1); 0.5 degrees C h(-1) from 5 to -1 degrees C followed by 0.1 degrees C min(-1)) has little effect on Tc. The indigenous species typically have low T(c)s (c. -20 to - 13 degrees C depending on the acclimation temperature), whilst those of the invasive species tend to be higher (c. - 12 to - 6 degrees C) at the lower acclimation temperatures. However, Ceratophysella denticulata is an exception with a low T-c (c. -20 to - 18 degrees C), and in P. flavescens acclimation to 20 degrees C results in a pronounced decline in T-c. In general, the invasive and alien species do not differ substantially in acclimation effects on T-c (with the exception of the strong response in P. flavescens). Upper lethal temperatures (ULT50) are typically higher in the invasive (33-37 degrees C) than in the indigenous (30-33 degrees C) species and the response to acclimation differs among the two groups. The indigenous species show either a weak response to acclimation or ULT50 declines with increasing acclimation temperature, whereas in the invasive species ULT50 increases with acclimation temperature. These findings support the hypothesis that many invasive species will be favoured by climate change (warming and drying) at Marion Island. Moreover, manipulative field experiments have shown abundance changes in the indigenous and invasive springtail species in the direction predicted by the physiological data. (c) 2006 Published by Elsevier Ltd.</t>
  </si>
  <si>
    <t>Univ Stellenbosch, Dept Bot &amp; Zool, Ctr Invas Biol, ZA-7600 Stellenbosch, South Africa; British Antarctic Survey, NERC, Cambridge CB3 0ET, England; Univ Oslo, Dept Biol, Programme Expt Behav &amp; Populat Ecol Res, N-0316 Oslo, Norway</t>
  </si>
  <si>
    <t>Stellenbosch University; UK Research &amp; Innovation (UKRI); Natural Environment Research Council (NERC); NERC British Antarctic Survey; University of Oslo</t>
  </si>
  <si>
    <t>Chown, SL (corresponding author), Univ Stellenbosch, Dept Bot &amp; Zool, Ctr Invas Biol, ZA-7600 Stellenbosch, South Africa.</t>
  </si>
  <si>
    <t>Chown, Steven/ABD-7646-2021; Chown, Steven L/H-3347-2011</t>
  </si>
  <si>
    <t>10.1016/j.jinsphys.2006.10.010</t>
  </si>
  <si>
    <t>144ST</t>
  </si>
  <si>
    <t>WOS:000244817200001</t>
  </si>
  <si>
    <t>Toda, T; Okashita, T; Maekawa, T; Alfian, BAAK; Rajuddin, MKM; Nakajima, R; Chen, WX; Takahashi, KT; Othman, BHR; Terazaki, M</t>
  </si>
  <si>
    <t>Toda, Tatsuki; Okashita, Tomoko; Maekawa, Takeshi; Alfian, Bin Abdul Adzis Kee; Rajuddin, Mohd Kushairi Mohd; Nakajima, Ryota; Chen, Wenxi; Takahashi, Kunio T.; Othman, Bin Haji Ross; Terazaki, Makoto</t>
  </si>
  <si>
    <t>Community structures of coral reefs around peninsular Malaysia</t>
  </si>
  <si>
    <t>coral; community structure; coverage; Peninsular Malaysia</t>
  </si>
  <si>
    <t>SEDIMENTATION; MORTALITY; DAMAGE; RATES</t>
  </si>
  <si>
    <t>Coral community structures at eleven fringing reef sites were investigated along the coast of Peninsular Malaysia. Estimated coverage of coral communities is examined by applying quantitative digital image analysis to the line transect method. Four coral community types were characterized by dominant genera and lifeforms: Acropora branching community, Montipora-Acropora community, Porites massive community, and Heliopora community. Live coral coverage in all study sites ranged from 17.9% to 68.6%. Most reefs were in fair condition while some reefs were shown to be in poor condition. Coral community structures among the study sites were divided into the west coast of Peninsular Malaysia with a dominant Porites massive lifeform, and the east coast with a variety of lifeform categories of Montipora and Acropora. Physical effects such as the monsoon wind regime and sedimentation are likely to influence the formation of dominant coral communities around Peninsular Malaysia.</t>
  </si>
  <si>
    <t>Soka Univ, Lab Restorat Ecol, Dept Environm Engn Symbiosis, Fac Engn, Tokyo 1928577, Japan; Univ Kebangsaan Malaysia, Sch Environm &amp; Nat Resource Sci, Fac Sci &amp; Technol, Bangi 43600, Malaysia; Univ Ind Selangor, Fac Biotechnol &amp; Life Sci, Shah Alam 40000, Malaysia; Univ Aizu, Dept Comp Software, Fukushima 9658580, Japan; Australian Govt Antarctic Div, Kingston, Tas 7050, Australia; Univ Tokyo, Ocean Res Inst, Nakano Ku, Tokyo 1648639, Japan</t>
  </si>
  <si>
    <t>Soka University; Universiti Kebangsaan Malaysia; University of Aizu; Australian Antarctic Division; University of Tokyo</t>
  </si>
  <si>
    <t>Toda, T (corresponding author), Soka Univ, Lab Restorat Ecol, Dept Environm Engn Symbiosis, Fac Engn, Tokyo 1928577, Japan.</t>
  </si>
  <si>
    <t>toda@t.soka.ac.jp</t>
  </si>
  <si>
    <t>Chen, Wenxi/F-9735-2012</t>
  </si>
  <si>
    <t>Toda, Tatsuki/0000-0001-9279-030X; Othman, B.H.R/0000-0001-9754-399X</t>
  </si>
  <si>
    <t>TERRA SCIENTIFIC PUBL CO</t>
  </si>
  <si>
    <t>2003 SANSEI JIYUGAOKA HAIMU, 5-27-19 OKUSAWA, SETAGAYA-KU, TOKYO, 158-0083, JAPAN</t>
  </si>
  <si>
    <t>10.1007/s10872-007-0009-6</t>
  </si>
  <si>
    <t>120BV</t>
  </si>
  <si>
    <t>WOS:000243059400009</t>
  </si>
  <si>
    <t>Gómez, I; Orostegui, M; Huovinen, P</t>
  </si>
  <si>
    <t>Gomez, Ivan; Orostegui, Marcela; Huovinen, Pirjo</t>
  </si>
  <si>
    <t>Morpho-functional patterns of photosynthesis in the south pacific kelp Lessonia nigrescens:: Effects of UV radiation on 14C fixation and primary photochemical reactions</t>
  </si>
  <si>
    <t>JOURNAL OF PHYCOLOGY</t>
  </si>
  <si>
    <t>carbon fixation; chlorophyll fluorescence; Lessonia nigrescens; light-independent carbon fixation; photosynthesis; translocation; UV radiation</t>
  </si>
  <si>
    <t>INDEPENDENT CARBON FIXATION; ULTRAVIOLET-B RADIATION; LONGITUDINAL PROFILES; LAMINARIA-SOLIDUNGULA; ANTARCTIC MACROALGAE; MARINE MACROALGAE; SOLAR-RADIATION; SEASONAL GROWTH; DEPTH-ZONATION; BROWN</t>
  </si>
  <si>
    <t>The morpho-functional patterns of photosynthesis, measured as C-14-fixation and chl fluorescence of PSII, also as affected by different doses of UV radiation in the laboratory were examined in the South Pacific kelp Lessonia nigrescens Bory of the coast of Valdivia, Chile (40 degrees S). The results indicated the existence of longitudinal thallus profiles in physiological performance. In general, blades exhibited higher rates of carbon fixation and pigmentation as compared with stipes and holdfasts. Light-independent C-14 fixation (LICF) was high in meristematic zones of the blades (3.5 mu mol C-14.g(-1) fresh weight [FW].h(-1)), representing 2%-16% (percentage ratio) of the photosynthetic C-14 fixation (20 mu mol C-14.g(-1) FW.h(-1)). Exposures to UV radiation indicated that biologically effective UV-B doses (BEDphotoinhibition300) of 200-400 kJ.m(-2) (corresponding to current daily doses measured in Valdivia on cloudless summer days) inhibit photosynthetic C-14 fixation of blades by 90%, while LICF was reduced by 70%. The percentage ratio of LICF to photosynthetic C-14 fixation increased under UV exposure to 45%. Primary light reactions measured as maximum quantum yield (F-v/F-m) and electron transport rate (ETR) indicated a higher UV susceptibility of blades as compared with stipes and holdfasts: after a 48 h exposure to UV-B, the decrease in the blades was close to 30%, while in the stipes and holdfasts it was &lt; 20%. The existence of translocation of labeled carbon along the blades suggests that growth at the meristem may be powered by nonphotosynthetic processes. A possible functional role of LIFC, such as during reduction of photosynthetic carbon fixation due to enhanced UV radiation, is discussed. These results in general support the idea that the UV-related responses in Lessonia are integrated in the suite of morpho-functional adaptations of the alga.</t>
  </si>
  <si>
    <t>Univ Austral Chile, Inst Biol Marina, Valdivia, Chile; Univ Jyvaskyla, Dept Biol &amp; Environm Sci, FIN-40351 Jyvaskyla, Finland; Univ Los Lagos, Ctr Invest &amp; Desarrollo Recursos &amp; Ambientes Cost, Puerto Montt, Chile</t>
  </si>
  <si>
    <t>Universidad Austral de Chile; University of Jyvaskyla; Universidad de Los Lagos</t>
  </si>
  <si>
    <t>Gómez, I (corresponding author), Univ Austral Chile, Inst Biol Marina, Isla Teja S-N,POB 567, Valdivia, Chile.</t>
  </si>
  <si>
    <t>igomezo@uach.cl</t>
  </si>
  <si>
    <t>Varela, Daniel A/D-9484-2013</t>
  </si>
  <si>
    <t>Huovinen, Pirjo/0000-0002-7754-4933; Gomez, Ivan/0000-0001-8381-3792</t>
  </si>
  <si>
    <t>0022-3646</t>
  </si>
  <si>
    <t>J PHYCOL</t>
  </si>
  <si>
    <t>J. Phycol.</t>
  </si>
  <si>
    <t>10.1111/j.1529-8817.2006.00301.x</t>
  </si>
  <si>
    <t>133HP</t>
  </si>
  <si>
    <t>WOS:000244004300006</t>
  </si>
  <si>
    <t>Wenzel, M; Schröter, J</t>
  </si>
  <si>
    <t>Wenzel, Manfred; Schroeter, Jens</t>
  </si>
  <si>
    <t>The global ocean mass budget in 1993-2003 estimated from sea level change</t>
  </si>
  <si>
    <t>ANNUAL CYCLE; HEAT-CONTENT; CIRCULATION; VARIABILITY</t>
  </si>
  <si>
    <t>The mass budget of the ocean in the period 1993 - 2003 is studied with a general circulation model. The model has a free surface and conserves mass rather than volume; that is, freshwater is exchanged with the atmosphere via precipitation and evaporation and inflow from land is taken into account. The mass is redistributed by the ocean circulation. Furthermore, the ocean's volume changes by steric expansion with changing temperature and salinity. To estimate the mass changes, the ocean model is constrained by sea level measurements from the Ocean Topography Experiment ( TOPEX)/Poseidon mission as well as by hydrographic data. The modeled ocean mass change within the years 2002 - 03 compares favorably to measurements from the Gravity Recovery and Climate Experiment ( GRACE), and the evolution of the global mean sea level for the period 1993 - 2003 with annual and interannual variations can be reproduced to a 0.15-cm rms difference. Its trend has been measured as 3.37 mm yr(-1) while the constrained model gives 3.34 mm yr(-1) considering only the area covered by measurements ( 3.25 mm yr(-1) for the total ocean). A steric rise of 2.50 mm yr(-1) is estimated in this period, as is a gain in the ocean mass that is equivalent to an eustatic rise of 0.74 mm yr(-1). The amplitude and phase ( day of maximum value since 1 January) of the superimposed eustatic annual cycle are also estimated to be 4.6 mm and 278, respectively. The corresponding values for the semiannual cycle are 0.42 mm and 120 degrees. The trends in the eustatic sea level are not equally distributed. In the Atlantic Ocean ( 80 degrees S - 67 degrees N) the eustatic sea level rises by 1.8 mm yr(-1) and in the Indian Ocean ( 80 degrees S - 30 degrees N) it rises by 1.4 mm yr(-1), but it falls by - 0.20 mm yr(-1) in the Pacific Ocean ( 80 degrees S - 67 degrees N). The latter is mainly caused by a loss of mass through transport divergence in the Pacific sector of the Antarctic Circumpolar Current ( - 0.42 Sv; Sv equivalent to 109 kg s(-1)) that is not balanced by the net surface water supply. The consequence of this uneven eustatic rise is a shift of the oceanic center of mass toward the Atlantic Ocean and to the north.</t>
  </si>
  <si>
    <t>Schröter, J (corresponding author), Alfred Wegener Inst Polar &amp; Marine Res, Busse Str 24, D-27570 Bremerhaven, Germany.</t>
  </si>
  <si>
    <t>jschroeter@awi-bremerhaven.de</t>
  </si>
  <si>
    <t>Schröter, Jens G/H-8806-2016</t>
  </si>
  <si>
    <t>Schröter, Jens G/0000-0002-9240-5798</t>
  </si>
  <si>
    <t>10.1175/JPO3007.1</t>
  </si>
  <si>
    <t>141DP</t>
  </si>
  <si>
    <t>WOS:000244558000007</t>
  </si>
  <si>
    <t>Zlotnicki, V; Wahr, J; Fukumori, I; Song, YT</t>
  </si>
  <si>
    <t>Zlotnicki, Victor; Wahr, John; Fukumori, Ichiro; Song, Yuhe T.</t>
  </si>
  <si>
    <t>Antarctic circumpolar current transport variability during 2003-05 from GRACE</t>
  </si>
  <si>
    <t>BOTTOM PRESSURE MEASUREMENTS; GLOBAL OCEAN CIRCULATION; TIME-VARIABLE GRAVITY; DRAKE PASSAGE; CLIMATE EXPERIMENT; ANNULAR MODE; SEA-LEVEL; WIND; SURFACE; EARTH</t>
  </si>
  <si>
    <t>Gravity Recovery and Climate Experiment ( GRACE) gravity data spanning January 2003 - November 2005 are used as proxies for ocean bottom pressure ( BP) averaged over 1 month, spherical Gaussian caps 500 km in radius, and along paths bracketing the Antarctic Circumpolar Current's various fronts. The GRACE BP signals are compared with those derived from the Estimating the Circulation and Climate of the Ocean ( ECCO) ocean modeling - assimilation system, and to a non-Boussinesq version of the Regional Ocean Model System ( ROMS). The discrepancy found between GRACE and the models is 1.7 cm(H2O) ( 1 cm(H2O) similar to 1 hPa), slightly lower than the 1.9 cm(H2O) estimated by the authors independently from propagation of GRACE errors. The northern signals are weak and uncorrelated among basins. The southern signals are strong, with a common seasonality. The seasonal cycle GRACE data observed in the Pacific and Indian Ocean sectors of the ACC are consistent, with annual and semiannual amplitudes of 3.6 and 0.6 cm(H2O) ( 1.1 and 0.6 cm(H2O) with ECCO), the average over the full southern path peaks ( stronger ACC) in the southern winter, on days of year 197 and 97 for the annual and semiannual components, respectively; the Atlantic Ocean annual peak is 20 days earlier. An approximate conversion factor of 3.1 Sv ( Sv equivalent to 106 m(3) s(-1)) of barotropic transport variability per cm(H2O) of BP change is estimated. Wind stress data time series from the Quick Scatterometer ( QuikSCAT), averaged monthly, zonally, and over the latitude band 40 degrees - 65 degrees S, are also constructed and subsampled at the same months as with the GRACE data. The annual and semiannual harmonics of the wind stress peak on days 198 and 82, respectively. A decreasing trend over the 3 yr is observed in the three data types.</t>
  </si>
  <si>
    <t>CALTECH, Jet Propuls Lab, Pasadena, CA 91125 USA; Univ Colorado, Cooperat Inst Res Environm Sci, Boulder, CO 80309 USA; Univ Colorado, Dept Phys, Boulder, CO 80309 USA</t>
  </si>
  <si>
    <t>National Aeronautics &amp; Space Administration (NASA); NASA Jet Propulsion Laboratory (JPL); California Institute of Technology; University of Colorado System; University of Colorado Boulder; University of Colorado System; University of Colorado Boulder</t>
  </si>
  <si>
    <t>Zlotnicki, V (corresponding author), JPL 300-323,4800 Oak Grp Dr, Pasadena, CA 91109 USA.</t>
  </si>
  <si>
    <t>victor.zlotnicki@jpl.nasa.gov</t>
  </si>
  <si>
    <t>Fukumori, Ichiro/AAY-9005-2020</t>
  </si>
  <si>
    <t>Fukumori, Ichiro/0000-0002-0882-6400; Zlotnicki, Victor/0000-0002-1983-7930</t>
  </si>
  <si>
    <t>10.1175/JPO3009.1</t>
  </si>
  <si>
    <t>WOS:000244558000009</t>
  </si>
  <si>
    <t>Schlitzer, R</t>
  </si>
  <si>
    <t>Schlitzer, Reiner</t>
  </si>
  <si>
    <t>Assimilation of radiocarbon and chlorofluorocarbon data to constrain deep and bottom water transports in the world ocean</t>
  </si>
  <si>
    <t>NORTH-ATLANTIC OCEAN; LABRADOR SEA-WATER; LARGE-SCALE CIRCULATION; PACIFIC-OCEAN; INDIAN-OCEAN; FORMATION RATES; SOUTHERN-OCEAN; WEDDELL SEA; ADJOINT METHOD; EXPORT</t>
  </si>
  <si>
    <t>A coarse-resolution global model with time-invariant circulation is fitted to hydrographic and tracer data by means of the adjoint method. Radiocarbon and chlorofluorocarbon ( CFC-11 and CFC-12) data are included to constrain deep and bottom water transport rates and spreading pathways as well as the strength of the global overturning circulation. It is shown that realistic global ocean distributions of hydrographic parameters and tracers can be obtained simultaneously. The model correctly reproduces the deep ocean radiocarbon field and the concentrations gradients between different basins. The spreading of CFC plumes in the deep and bottom waters is simulated in a realistic way, and the spatial extent as well as the temporal evolution of these plumes agrees well with observations. Radiocarbon and CFC observations place upper bounds on the northward transports of Antarctic Bottom Water ( AABW) into the Pacific, Atlantic, and Indian Oceans. Long-term mean AABW transports larger than 5 Sv ( Sv equivalent to 106 m(3) s(-1)) through the Vema and Hunter Channels in the South Atlantic and net AABW transports across 30 degrees S into the Indian Ocean larger than 10 Sv are found to be incompatible with CFC data. The rates of equatorward deep and bottom water transports from the North Atlantic and Southern Ocean are of similar magnitude ( 15.7 Sv at 50 degrees N and 17.9 Sv at 50 degrees S). Deep and bottom water formation in the Southern Ocean occurs at multiple sites around the Antarctic continent and is not confined to the Weddell Sea. A CFC forecast based on the assumption of unchanged abyssal transports shows that by 2030 the entire deep west Atlantic exhibits CFC-11 concentrations larger than 0.1 pmol kg(-1), while most of the deep Indian and Pacific Oceans remain CFC free. By 2020 the predicted CFC concentrations in the deep western boundary current ( DWBC) in the North Atlantic exceed surface water concentrations and the vertical CFC gradients start to reverse.</t>
  </si>
  <si>
    <t>Schlitzer, R (corresponding author), Alfred Wegener Inst Polar &amp; Marine Res, Columbus Str, D-27568 Bremerhaven, Germany.</t>
  </si>
  <si>
    <t>rschlitzer@awi-bremerhaven.de</t>
  </si>
  <si>
    <t>10.1175/JPO3011.1</t>
  </si>
  <si>
    <t>WOS:000244558000011</t>
  </si>
  <si>
    <t>Meijers, AJ; Bindoff, NL; Roberts, JL</t>
  </si>
  <si>
    <t>Meijers, A. J.; Bindoff, N. L.; Roberts, J. L.</t>
  </si>
  <si>
    <t>On the total, mean, and eddy heat and freshwater transports in the southern hemisphere of a 1/8° 1/8° global ocean model</t>
  </si>
  <si>
    <t>ANTARCTIC CIRCUMPOLAR CURRENT; CIRCULATION EXPERIMENT; MESOSCALE EDDIES; OVERTURNING CIRCULATION; GENERAL-CIRCULATION; HYDROGRAPHIC DATA; DEACON CELL; VOLUME; VARIABILITY; RESOLUTION</t>
  </si>
  <si>
    <t>The large-scale volume, heat, and freshwater ocean transports in the Southern Hemisphere are investigated using time-averaged output from a seasonless, high-resolution general circulation model. The ocean circulation is realistic, and property transports are comparable to observations. The Antarctic Circumpolar Current ( ACC) carries 144 Sv ( Sv equivalent to 10(6) m(3) s(-1)) of water eastward across Drake Passage, increasing to 155 Sv south of Australia because of the Indonesian Throughflow ( ITF). There is a clear Indo-Pacific gyre around Australia exchanging - 10 Sv, 0.9 PW of heat, and 0.2 Sv of freshwater through the ITF, and there is a 9-Sv leakage from the Tasman Sea to the Indian Ocean. The transport of heat and freshwater by eddies is localized to the upper 1000 m of the water column and specific regions, such as western boundary currents, confluences, and the subantarctic front ( SAF). Eddy transport of heat and freshwater is negligible in gyre interiors and south of the SAF but is vital across the northern edge of the ACC, in particular at the Agulhas Retroflection where eddies accomplish almost 100% of the net ocean heat and 60% of the southward freshwater transport. The eddy transport is almost zero across the latitude of Drake Passage while in a quasi-Lagrangian frame eddy transports are significant across the ACC but surprisingly are still smaller than the mean transport of heat. Mean and eddy property transport divergences are found to be strongly compensating in areas of high eddy activity. This is caused by increased baroclinic instability in strong mean flows, which induces an opposing eddy transport. This relationship is observed to be stronger in the case of horizontal heat transport than in corresponding horizontal freshwater transports.</t>
  </si>
  <si>
    <t>Univ Tasmania, IASOS, Hobart, Tas 7001, Australia; Univ Tasmania, Antarctic Climate &amp; Ecosyst Cooper Res Ctr, Tasmanian Partnership Adv Comp, Hobart, Tas 7001, Australia; CSIRO, Marine Res, Hobart, Tas, Australia</t>
  </si>
  <si>
    <t>University of Tasmania; University of Tasmania; Commonwealth Scientific &amp; Industrial Research Organisation (CSIRO)</t>
  </si>
  <si>
    <t>Meijers, AJ (corresponding author), Univ Tasmania, IASOS, Private Bag, Hobart, Tas 7001, Australia.</t>
  </si>
  <si>
    <t>ameijers@utas.edu.au</t>
  </si>
  <si>
    <t>Bindoff, Nathaniel Lee/C-8050-2011; Roberts, Jason L/B-2235-2012; Bindoff, Nathaniel Lee/IVV-0333-2023; Meijers, Andrew/A-9903-2012</t>
  </si>
  <si>
    <t>Bindoff, Nathaniel Lee/0000-0001-5662-9519; Roberts, Jason L/0000-0002-3477-4069; Bindoff, Nathaniel Lee/0000-0001-5662-9519;</t>
  </si>
  <si>
    <t>10.1175/JPO3012.1</t>
  </si>
  <si>
    <t>WOS:000244558000012</t>
  </si>
  <si>
    <t>Li, LY; Li, QB; Rohlin, L; Kim, U; Salmon, K; Rejtar, T; Gunsalus, RP; Karger, BL; Ferry, JG</t>
  </si>
  <si>
    <t>Li, Lingyun; Li, Qingbo; Rohlin, Lars; Kim, UnMi; Salmon, Kirsty; Rejtar, Tomas; Gunsalus, Robert P.; Karger, Barry L.; Ferry, James G.</t>
  </si>
  <si>
    <t>Quantitative proteomic and microarray analysis of the archaeon Methanosarcina acetivorans grown with acetate versus methanol</t>
  </si>
  <si>
    <t>JOURNAL OF PROTEOME RESEARCH</t>
  </si>
  <si>
    <t>quantitative proteomics; metabolic labeling; microarray; methanogenesis; acetate; methanol</t>
  </si>
  <si>
    <t>IRON-SULFUR FLAVOPROTEIN; MAZEI STRAIN GO1; INORGANIC POLYPHOSPHATE; ANTARCTIC ARCHAEON; ESCHERICHIA-COLI; METHYLTRANSFERASE ISOZYMES; GENETIC-ANALYSIS; ECH HYDROGENASE; PROTEINS; EXPRESSION</t>
  </si>
  <si>
    <t>Methanosarcina acetivorans strain C2A is an acetate- and methanol-utilizing methane-producing organism for which the genome, the largest yet sequenced among the Archaea, reveals extensive physiological diversity. LC linear ion trap-FTICR mass spectrometry was employed to analyze acetate- vs methanol-grown cells metabolically labeled with N-14 vs N-15, respectively, to obtain quantitative protein abundance ratios. DNA microarray analyses of acetate- vs methanol-grown cells was also performed to determine gene expression ratios. The combined approaches were highly complementary, extending the physiological understanding of growth and methanogenesis. Of the 1081 proteins detected, 255 were &gt;= 3-fold differentially abundant. DNA microarray analysis revealed 410 genes that were &gt;= 2.5-fold differentially expressed of 1972 genes with detected expression. The ratios of differentially abundant proteins were in good agreement with expression ratios of the encoding genes. Taken together, the results suggest several novel roles for electron transport components specific to acetate-grown cells, including two flavodoxins each specific for growth on acetate or methanol. Protein abundance ratios indicated that duplicate CO dehydrogenase/acetyl-CoA complexes function in the conversion of acetate to methane. Surprisingly, the protein abundance and gene expression ratios indicated a general stress response in acetate- vs methanol-grown cells that included enzymes specific for polyphosphate accumulation and oxidative stress. The microarray analysis identified transcripts of several genes encoding regulatory proteins with identity to the PhoU, MarR, GlnK, and TetR families commonly found in the Bacteria domain. An analysis of neighboring genes suggested roles in controlling phosphate metabolism (PhoU), ammonia assimilation (GlnK), and molybdopterin cofactor biosynthesis (TetR). Finally, the proteomic and microarray results suggested roles for two-component regulatory systems specific for each growth substrate.</t>
  </si>
  <si>
    <t>Penn State Univ, Dept Biochem &amp; Mol Biol, University Pk, PA 16802 USA; Penn State Univ, Ctr Microbial Struct Biol, University Pk, PA 16802 USA; Northeastern Univ, Barnett Inst, Boston, MA 02115 USA; Northeastern Univ, Dept Chem, Boston, MA 02115 USA; Univ Calif Los Angeles, Dept Microbiol Immunol &amp; Mol Genet, Los Angeles, CA 90095 USA; Univ Calif Los Angeles, Inst Mol Biol, Los Angeles, CA 90095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</si>
  <si>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Northeastern University; Northeastern University; University of California System; University of California Los Angeles; University of California System; University of California Los Angeles</t>
  </si>
  <si>
    <t>Ferry, JG (corresponding author), Penn State Univ, Dept Biochem &amp; Mol Biol, 205 S Frear Lab, University Pk, PA 16802 USA.</t>
  </si>
  <si>
    <t>jgf3@psu.edu</t>
  </si>
  <si>
    <t>NIGMS NIH HHS [GM 15847, F32 GM015847, R37 GM015847, R01 GM015847, R01 GM044661, R01 GM044661-12] Funding Source: Medline</t>
  </si>
  <si>
    <t>NIGMS NIH HHS(United States Department of Health &amp; Human ServicesNational Institutes of Health (NIH) - USANIH National Institute of General Medical Sciences (NIGMS))</t>
  </si>
  <si>
    <t>1535-3893</t>
  </si>
  <si>
    <t>1535-3907</t>
  </si>
  <si>
    <t>J PROTEOME RES</t>
  </si>
  <si>
    <t>J. Proteome Res.</t>
  </si>
  <si>
    <t>10.1021/pr060383l</t>
  </si>
  <si>
    <t>Biochemical Research Methods</t>
  </si>
  <si>
    <t>132FK</t>
  </si>
  <si>
    <t>WOS:000243927900031</t>
  </si>
  <si>
    <t>Maestro, A; Somoza, L; Rey, J; Martínez-Frías, J; López-Martínez, J</t>
  </si>
  <si>
    <t>Maestro, A.; Somoza, L.; Rey, J.; Martinez-Frias, J.; Lopez-Martinez, J.</t>
  </si>
  <si>
    <t>Active tectonics, fault patterns, and stress field of Deception Island:: A response to oblique convergence between the Pacific and Antarctic plates</t>
  </si>
  <si>
    <t>JOURNAL OF SOUTH AMERICAN EARTH SCIENCES</t>
  </si>
  <si>
    <t>recent stress field; Riedel shear fractures; geodynamic evolutionary model; deception island; Bransfield Trough; Western Antarctica</t>
  </si>
  <si>
    <t>CENTRAL BRANSFIELD BASIN; SOUTH SHETLAND ISLANDS; HURD PENINSULA; EVOLUTION; STRAIT; MARGIN; MORPHOSTRUCTURE; TRENCH; AREA</t>
  </si>
  <si>
    <t>Palaeostress results derived from brittle mesoscopic structures on Deception Island (Bransfield Trough, Western Antarctica) show a recent stress field characterized by an extensional regime, with local compressional stress states. The maximum horizontal stress (sigma(y)) shows NW-SE and NNE-SSW to NE-SW orientations and horizontal extension (sigma(3)) in NE-SW and WNW-ESE to NW-SE directions. Alignments of mesofractures show a maximum of NNE-SSW orientation and several relative maxima striking N030-050E, N060-080E, N110-120E, and N160-170E. Subaerial and submarine macrofaults of Deception Island show six main systems controlling the morphology of the island: N-S, NNE-SSW, NE-SW, ENE-WSW to E-W, WNW-ESE, and NNW-SSE. Geochemical patterns related to submarine hydrothermally influenced fault and fissure pathways also share the same trends. The orientation of these fault systems is compared to Riedel shear fractures. Following this model, we propose two evolutionary stages from geometrical relationships between the location and orientation of joints and faults. These stages imply a counter-clockwise rotation of Deception Island, which may be linked to a regional left-lateral strike-slip. In addition, the simple shear zone could be a response to oblique convergence between the Antarctic and Pacific plates. This stress direction is consistent with the present-day movements between the Antarctic, Scotia, and Pacific plates. Nevertheless, present basalt-andesitic volcanism and deep earthquake focal mechanisms may indicate rollback of the former Phoenix subducted slab, which is presently amalgamated with the Pacific plate. We postulate that both mechanisms could occur simultaneously. (c) 2006 Elsevier Ltd. All rights reserved.</t>
  </si>
  <si>
    <t>Inst Geol, Serv Geol Marina, Madrid 28003, Spain; Minero Espana, Madrid 28003, Spain; ESGEMAR, Malaga 29006, Spain; NASA, Astrobiol Inst, Ctr Astrobiol, CSIC,INTA, Madrid 28850, Spain; Univ Autonoma Madrid, Fac Ciencias, Dept Geol &amp; Geoquim, E-28049 Madrid, Spain</t>
  </si>
  <si>
    <t>Consejo Superior de Investigaciones Cientificas (CSIC); CSIC - Centro de Astrobiologia (INTA); Autonomous University of Madrid</t>
  </si>
  <si>
    <t>Maestro, A (corresponding author), Inst Geol, Serv Geol Marina, Rios Rosas 23, Madrid 28003, Spain.</t>
  </si>
  <si>
    <t>a.maestro@igme.es</t>
  </si>
  <si>
    <t>Maestro, Adolfo/ABG-7268-2021; Lopez-Martinez, Jeronimo/C-5744-2011; Somoza, Luis/C-1400-2010; Maestro, Adolfo/K-2434-2014</t>
  </si>
  <si>
    <t>Lopez-Martinez, Jeronimo/0000-0002-1750-8287; Somoza, Luis/0000-0001-5451-2288; Maestro, Adolfo/0000-0002-7474-725X; Martinez-Frias, Jesus/0000-0002-2609-4485</t>
  </si>
  <si>
    <t>0895-9811</t>
  </si>
  <si>
    <t>J S AM EARTH SCI</t>
  </si>
  <si>
    <t>J. South Am. Earth Sci.</t>
  </si>
  <si>
    <t>10.1016/j.jsames.2006.09.023</t>
  </si>
  <si>
    <t>158DR</t>
  </si>
  <si>
    <t>WOS:000245771900008</t>
  </si>
  <si>
    <t>Rai, AK; Srinivasan, MS; Maurya, AS</t>
  </si>
  <si>
    <t>Rai, Ajai Kumar; Srinivasan, M. S.; Maurya, Abhayanand Singh</t>
  </si>
  <si>
    <t>Influence of Antarctic Bottom Water (AABW) and monsoonal activity in the central Indian Ocean over past 5 million years: Benthic foraminiferal record at DSDP Site 238</t>
  </si>
  <si>
    <t>Benthic foraminiferal record; Antarctic Bottom Water; monsoonal activity; DSDP Site 238; central Indian Ocean</t>
  </si>
  <si>
    <t>PLIOCENE BIOGENIC BLOOM; DEEP-WATER; SOUTH CHINA; ASSEMBLAGE RESPONSE; CONTINENTAL-MARGIN; SURFACE-WATER; SEA; PRODUCTIVITY; ATLANTIC; PALEOCEANOGRAPHY</t>
  </si>
  <si>
    <t>This study quantitatively analyzes Pliocene-Pleistocene benthic foraminifera from DSDP Site 238 in the central Indian Ocean. A Q-mode factor analysis of 28 most abundant species defines three significant faunal assemblages reflecting different environmental characteristics. The Cibicides wuellerstorfi-Oridorsalis umbonatus assemblage (Factor 1) represents well oxygenated bottom waters with active currents and intermediate to low supply of organic matter. The Uvigerina proboscidea assemblage (Factor 2) indicates a continuously high flux of organic matters to the sea floor in response to increased surface water productivity. The Nuttallides umbonifera assemblage (Factor 3) is associated with Antarctic Bottom Water (AABW) and reflects cold, oligotrophic, increased carbonate corrosiveness and high oxygen concentration. In most of the past 5 Ma (i.e. 5-4.2 Ma, 2.8-1.8 Ma and 1.2 Ma to Recent) the dominant occurrences of Cibicides wuellerstorfl-Oridorsalis umbonatus assemblage represent active bottom water currents with more ventilation and relatively low trophic levels reflecting the influence of NADW at abyssal depths in the central Indian Ocean. The early Late Pliocene (c. 3.6-2.8 Ma) and Early Pleistocene (c. 1.8-1.2 Ma) are two significant intervals of prominent faunal change, which indicate entirely different deep-sea conditions. The prominent occurrence of Nuttallides umbonifera assemblage during 3.6-2.8 Ma reflects cold, corrosive and well-oxygenated bottom waters possibly in response to increased flow of AABW towards the central Indian Ocean at abyssal depths. The Early Pleistocene (c. 1.8-1.2 Ma) is characterized by distinct occurrence of the Uvigerina proboscidea assemblage reflecting higher surface productivity. The widespread, intensified monsoon system during Early Pleistocene causes increased upwelling and higher surface productivity, which also enhanced the supply of organic carbon to the ocean floor.</t>
  </si>
  <si>
    <t>Univ Allahabad, Dept Earth &amp; Planetary Sci, Nehru Sci Ctr, Allahabad 211002, Uttar Pradesh, India; Banaras Hindu Univ, Dept Geol, Varanasi 221005, Uttar Pradesh, India</t>
  </si>
  <si>
    <t>University of Allahabad; Banaras Hindu University (BHU)</t>
  </si>
  <si>
    <t>Rai, AK (corresponding author), Univ Allahabad, Dept Earth &amp; Planetary Sci, Nehru Sci Ctr, Allahabad 211002, Uttar Pradesh, India.</t>
  </si>
  <si>
    <t>akrai@sancharnet.in; mssrinivasan@rediffmail.com; asmaurya2001@yahoo.co.in</t>
  </si>
  <si>
    <t>Maurya, Abhayanad Singh/0000-0001-7489-8026</t>
  </si>
  <si>
    <t>157LZ</t>
  </si>
  <si>
    <t>WOS:000245722500002</t>
  </si>
  <si>
    <t>Gupta, AK; Das, M</t>
  </si>
  <si>
    <t>Gupta, Anil K.; Das, Moumita</t>
  </si>
  <si>
    <t>Occurrence of the biogenic bloom in the oligotrophic southeastern Indian Ocean: Evidence from late neogene deep-sea benthic foraminifera (ODP hole 752A)</t>
  </si>
  <si>
    <t>palcoceanographic changes; benthic foraminifera; ODP Site 752; broken ridge; SE Indian Ocean</t>
  </si>
  <si>
    <t>SOUTH ATLANTIC-OCEAN; NORTHERN ARABIAN SEA; CONTINENTAL-MARGIN; MICROHABITAT PREFERENCES; PRODUCTIVITY; PALEOCEANOGRAPHY; CIRCULATION; PACIFIC; PLEISTOCENE; PATTERNS</t>
  </si>
  <si>
    <t>We produced a 12.9 Macensus data of deep-sea benthic foraminifera from subtropical Ocean Drilling Program (ODP) Hole 752A, Broken Ridge, southeastern Indian Ocean to understand paleoceanographic and paleoclimatic changes and their relation to Southern Ocean climate variability as well as latitudinal shifts in the Subtropical Convergence Zone (SCZ). We employed knowledge of the ecology of Recent deep-sea benthic foraminifera from different ocean basins for environmental interpretations at Hole 752A. Benthic faunal data suggest a major transition in deep-sea environments of the southeastern Indian Ocean across 5.5-4.5 Ma roughly coinciding with the end of the Indo-Pacific biogenic bloom. The benthic biofacies suggest well-oxygenated and nutrient poor deep waters from 12.9 to 10 Ma with variable flux of organic matter. The interval 10-5.5 Ma is marked by high and sustained flux of organic matter at the time when productivity increased many fold throughout the Indian and Pacific Oceans during which time the biogenic bloom peaked and the Indian summer monsoon intensified. Antarctic ice volume significantly increased and southern component deep-water formation enhanced during this time. This southern cooling in the late middle to late Miocene probably pushed the SCZ towards north above Hole 752A. Since 4.5 Ma, the organic flux was low to intermediate and pulsed.</t>
  </si>
  <si>
    <t>Indian Inst Technol, Dept Geol &amp; Geophys, Kharagpur 721302, W Bengal, India</t>
  </si>
  <si>
    <t>Indian Institute of Technology System (IIT System); Indian Institute of Technology (IIT) - Kharagpur</t>
  </si>
  <si>
    <t>Gupta, AK (corresponding author), Indian Inst Technol, Dept Geol &amp; Geophys, Kharagpur 721302, W Bengal, India.</t>
  </si>
  <si>
    <t>anilg@gg.iitkgp.ernet.in</t>
  </si>
  <si>
    <t>Gupta, Anil/0000-0003-0536-3911</t>
  </si>
  <si>
    <t>WOS:000245722500015</t>
  </si>
  <si>
    <t>Aguilar, A; Cappozzo, LH; Gazo, M; Pastor, T; Forcada, J; Grau, E</t>
  </si>
  <si>
    <t>Aguilar, A.; Cappozzo, L. H.; Gazo, M.; Pastor, T.; Forcada, J.; Grau, E.</t>
  </si>
  <si>
    <t>Lactation and mother-pup behaviour in the Mediterranean monk seal Monachus monachus:: an unusual pattern for a phocid</t>
  </si>
  <si>
    <t>JOURNAL OF THE MARINE BIOLOGICAL ASSOCIATION OF THE UNITED KINGDOM</t>
  </si>
  <si>
    <t>WESTERN SAHARA-MAURITANIA; DIVING BEHAVIOR; INDIVIDUAL VARIATION; FOSTERING BEHAVIOR; ELEPHANT SEALS; ST-LAWRENCE; SCHAUINSLANDI; GROENLANDICA; EVOLUTION; PINNIPEDS</t>
  </si>
  <si>
    <t>This paper presents baseline information oil maternal behaviour and lactation in the Mediterranean monk seat, with particular focus oil the age at which pups are weaned. The study was conducted in the western Saharan Population, the only surviving colony of the species. The first moult Finished at a mean pup age of 72.3 +/- 17 d (N=17) and, in contrast to other taxonomically-related phocids, this process was not associated with weaning. Lactation lasted it mean of 119.4 d (N=9; range: 103-149 d) in the pups that could be monitored until full weaning had taken place. This period almost, doubles the maximum lactation length reported ill other phocid species. During the first week after birth the mother pup bond was well developed and mothers always remained with their pups. The time invested in nursing (17%, SD: +/- 36) and in mother-pup interactions was higher during this period than afterwards (8%, SD: +/- 23 and 4%, SD: +/- 19, respectively). After the first week, nursing continued but mothers started to leave their Pups in order to feed at sea. Weaning Occurred gradually. Already since birth, pups were active and mobile, and swam frequently before moulting or weaning occurred. Fostering and milk stealing were common patterns of behaviour for both lactating females and pups. In 26.6% of the stickling episodes observed in mother pup pairs of known identity, pups suckled from females other than their mothers. Some females nursed more than one pup, at least occasionally, and in some cases a pup was fostered long-term by all alien female, The Mediterranean monk seat exhibits maternal-care characteristics that are more like otarids than phocids. This observation contradicts previous proposals that a short lactation period is a phylogenetic characteristic of phocids. Several of the unusual maternal traits observed may be favoured by year round access to abundant food supply, availability of breeding sites, and mild climatic conditions. This information should be taken into account when designing conservation strategies for the species and, very particularly, in the implementation of pup rehabilitation programmes.</t>
  </si>
  <si>
    <t>Univ Barcelona, Fac Biol, Dept Anim Biol, E-08071 Barcelona, Spain; Museo Argentino Ciencias Nat Bernardino Rivadavia, RA-1405 Buenos Aires, DF, Argentina; British Antarctic Survey, Div Biol Sci, Cambridge CB3 0ET, England</t>
  </si>
  <si>
    <t>University of Barcelona; Museo Argentino de Ciencias Naturales Bernardino Rivadavia (MACN); UK Research &amp; Innovation (UKRI); Natural Environment Research Council (NERC); NERC British Antarctic Survey</t>
  </si>
  <si>
    <t>Aguilar, A (corresponding author), Univ Barcelona, Fac Biol, Dept Anim Biol, E-08071 Barcelona, Spain.</t>
  </si>
  <si>
    <t>aaguilar@ub.edu</t>
  </si>
  <si>
    <t>Gazo, Manel/F-6088-2012; Vivia, Ariel/JAO-4693-2023; Forcada, Jaume/GYU-0677-2022; Aguilar, Alex/L-1283-2014</t>
  </si>
  <si>
    <t>Gazo, Manel/0000-0003-1159-322X; Aguilar, Alex/0000-0002-5751-2512; Pastor Ramos, Teresa/0000-0003-2417-8965</t>
  </si>
  <si>
    <t>0025-3154</t>
  </si>
  <si>
    <t>J MAR BIOL ASSOC UK</t>
  </si>
  <si>
    <t>J. Mar. Biol. Assoc. U.K.</t>
  </si>
  <si>
    <t>10.1017/S0025315407056147</t>
  </si>
  <si>
    <t>149JH</t>
  </si>
  <si>
    <t>WOS:000245142700014</t>
  </si>
  <si>
    <t>Dekov, VM; Kamenov, GD; Savelli, C; Stummeyer, J; Marchig, V</t>
  </si>
  <si>
    <t>Dekov, Vesselin M.; Kamenov, George D.; Savelli, Carlo; Stummeyer, Jens; Marchig, Vesna</t>
  </si>
  <si>
    <t>Origin of basal dolomitic claystone in the Marsili Basin, Tyrrhenian Sea</t>
  </si>
  <si>
    <t>dolomitic claystones; metalliferous sediments; glaciation; Marsili Basin; Tyrrhenian Sea</t>
  </si>
  <si>
    <t>RARE-EARTH ELEMENT; ANTARCTIC ICE CORE; EAST PACIFIC RISE; HYDROTHERMAL ACTIVITY; MEDITERRANEAN-SEA; PELAGIC SEDIMENTS; CALC-ALKALINE; VENT FIELD; DEEP-SEA; PB</t>
  </si>
  <si>
    <t>Red-brown dolomitic claystones overlay the Marsili Basin basaltic basement at ODP Site 650. Sequential leaching experiments reveal that most of the elements considered to have a hydrothermal or hydrogenous origin in a marine environment, such as Fe, Cu, Zn, Pb, Co, Ni, are present mainly in the aluminosilicate fraction of the dolomitic claystones. Their vertical distribution, content and partitioning chemistry of trace elements, and REE patterns suggest enhanced terrigenous input during dolomite formation, but no significant hydrothermal influence from the underlying basaltic basement. Positive correlations in the C and 0 isotopes in the dolomites reflect complex conditions during the dolomitization. The stable isotopes can be controlled in part by temperature variations during the dolomitization. Majority of the samples, however, form a trend that is steeper than expected for only temperature control on the C and 0 isotopes. The latter indicates possible isotopic heterogeneity in the proto-carbonate that can be related to and climatic conditions during the formation of the basal dolomitic claystones. In addition, the dolostones stable isotopic characteristics can be influenced by diagenetic release of heavier 6180 from clay dehydration and/or alteration of siliciclastic material. Strontium and Pb isotopic data reveal that the non-carbonate fraction, the dye of the dolomitic claystones, is controlled by Saharan dust (75%-80%) and by material with isotopic characteristics similar to the Aeolian Arc volcanoes (20%-25%). The non-carbonate fraction of the calcareous ooze overlying the dolomitic claystones has a Sr and Ph isotopic composition identical to that of the dolomitic claystones, indicating that no change in the input sources to the sedimentary basin occurred during and after the dolomitization event. Combination of climato-tectonic factors most probably resulted in suitable conditions for dolomitization in the Marsili and the nearby Vavilov Basins. The basal dolomitic claystone sequence was formed at the initiation of the opening of the Marsili Basin (similar to 2 Ma), which coincided with the consecutive glacial stage. The glaciation caused and climate and enhanced evaporation that possibly contributed to the stable isotope variations in the proto-carbonate. The conductive cooling of the young lithosphere produced high heat flow in the region, causing low-temperature passive convection of pore waters in the basal calcareous sediment. We suggest that this pumping process was the major dolomitization mechanism since it is capable of driving large volumes of seawater (the source of Mg2+) through the sediment. The red-brown hue of the dolomitic claystones is terrigenous contribution of the glacially induced high eolian influx and was not hydrothermally derived from the underlying basaltic basement. The detailed geochemical investigation of the basal dolomitic sequence indicates that the dolomitization was most probably related to complex tectono-climatic conditions set by the initial opening stages of the Marsili Basin and glaciation. (c) 2006 Elsevier B.V. All rights reserved.</t>
  </si>
  <si>
    <t>Univ Sofia, Dept Geol &amp; Paleontol, Sofia 1000, Bulgaria; Univ Florida, Dept Geol Sci, Gainesville, FL 32611 USA; CNR, Ist Geol Marina, I-40129 Bologna, Italy; Bundesanstalt Geowissenschaften &amp; Rohstoffe, D-30655 Hannover, Germany</t>
  </si>
  <si>
    <t>University of Sofia; State University System of Florida; University of Florida; Consiglio Nazionale delle Ricerche (CNR); Istituto di Scienze Marine (ISMAR-CNR)</t>
  </si>
  <si>
    <t>Kamenov, GD (corresponding author), Univ Sofia, Dept Geol &amp; Paleontol, 15 Tzar Osvoboditel Blvd, Sofia 1000, Bulgaria.</t>
  </si>
  <si>
    <t>kamenov@ufl.edu</t>
  </si>
  <si>
    <t>Kamenov, George/AAE-6176-2020; Dekov, Vesselin/IAN-8962-2023; CNR, Ismar/P-1247-2014</t>
  </si>
  <si>
    <t>Kamenov, George/0000-0002-6041-6687; Dekov, Vesselin/0000-0002-2369-0337; CNR, Ismar/0000-0001-5351-1486</t>
  </si>
  <si>
    <t>10.1016/j.margeo.2006.10.021</t>
  </si>
  <si>
    <t>136WQ</t>
  </si>
  <si>
    <t>WOS:000244255200001</t>
  </si>
  <si>
    <t>Cremer, M; Gonthier, E; Duprat, J; Faugères, JC; Courp, T</t>
  </si>
  <si>
    <t>Cremer, M.; Gonthier, E.; Duprat, J.; Faugeres, J. -C.; Courp, T.</t>
  </si>
  <si>
    <t>Late Quaternary variability of the sedimentary record in the Sao Tome deep-sea system (south Brazilian basin)</t>
  </si>
  <si>
    <t>Quaternary; Southern Atlantic; sediment; carbonate; climate; water masses</t>
  </si>
  <si>
    <t>WESTERN EQUATORIAL ATLANTIC; ANTARCTIC BOTTOM WATER; SILT GRAIN-SIZE; NORTH-ATLANTIC; CLIMATE DYNAMICS; CIRCULATION; OCEAN; PRESERVATION; TEMPERATURE; CARBONATE</t>
  </si>
  <si>
    <t>Very few sediment records allow addressing the paleoceanographic changes that took place on orbital and/or sub-Milankovitch time scales in the South-West Atlantic. Here, a set of sediment cores located across a deep channel-levee system in the South Brazilian basin (3700-3900 m depth) is used to infer the sediment dynamics that prevailed on this system during the late Quaternary and to relate this pattern to climate changes. The spatial distribution of deposits (changes in mineralogy, texture, structure, and sedimentation rate according to the morphology) indicates bulk of sediment supplies is distributed on the Sao Tome system by bottom advective processes. The silty-sandy layers, originate undoubtedly from turbidity currents whereas the fine-grained muds and oozes, that form the major part of the deposits, are controlled by deep geostrophic currents. In addition to variations forced by the orbital cycles, (more turbidites, less carbonates and higher sedimentation rate during glacials) the sediment records (chiefly the CaCO3 record) document outstanding higher frequency regional changes in sedimentation. According to the location of the cores at the present day interface between NADW and AABW, we infer that changes in sedimentation are related to pulses of AABW versus NADW production. These changes, commonly marked by asymmetric carbonate pattern of about 10 kyr, suggest that the relative influence of NADW versus AABW followed, throughout the last 190 kyr, a repetitive sequence of progressive increase and sharp decrease. The rather sharp shut down observed during the late glacial could be associated to Heinrich events, when NADW production stopped, but similar events are also well expressed during MIS 5, MIS 6 and at the end of MIS 7. (c) 2006 Elsevier B.V. All rights reserved.</t>
  </si>
  <si>
    <t>Univ Bordeaux 1, CNRS, UMR 5805, EPOC,Dept Geol &amp; Oceanog, F-33405 Talence, France; Univ Perpignan, CNRS, EA 3678, Lab Etud Geoenvironm Marins, F-66860 Perpignan, France</t>
  </si>
  <si>
    <t>Centre National de la Recherche Scientifique (CNRS); CNRS - National Institute for Earth Sciences &amp; Astronomy (INSU); Universite de Bordeaux; Universite Perpignan Via Domitia; Centre National de la Recherche Scientifique (CNRS)</t>
  </si>
  <si>
    <t>Cremer, M (corresponding author), Univ Bordeaux 1, CNRS, UMR 5805, EPOC,Dept Geol &amp; Oceanog, Ave Fac, F-33405 Talence, France.</t>
  </si>
  <si>
    <t>m.cremer@epoc.u-bordeaux1.fr</t>
  </si>
  <si>
    <t>10.1016/j.margeo.2006.10.032</t>
  </si>
  <si>
    <t>WOS:000244255200006</t>
  </si>
  <si>
    <t>Townsend, AT; Palmer, AS; Stark, SC; Samson, C; Scouller, RC; Snape, I</t>
  </si>
  <si>
    <t>Townsend, Ashley T.; Palmer, Anne S.; Stark, Scott C.; Samson, Cath; Scouller, Rebecca C.; Snape, Ian</t>
  </si>
  <si>
    <t>Trace metal characterisation of marine sediment reference materials MESS-3 and PACS-2 in dilute HCl extracts</t>
  </si>
  <si>
    <t>FIELD ICP-MS; CONTAMINATION</t>
  </si>
  <si>
    <t>Univ Tasmania, Cent Sci Lab, Hobart, Tas 7001, Australia; Univ Tasmania, Sch Chem, ACROSS, Hobart, Tas 7001, Australia; Australian Govt Antarctic Div, Dept Environm &amp; Heritage, Kingston, Tas 7050, Australia</t>
  </si>
  <si>
    <t>Townsend, AT (corresponding author), Univ Tasmania, Cent Sci Lab, Private Bag 74, Hobart, Tas 7001, Australia.</t>
  </si>
  <si>
    <t>Ashley.Townsend@utas.edu.au</t>
  </si>
  <si>
    <t>Townsend, Ashley/J-7445-2014</t>
  </si>
  <si>
    <t>Townsend, Ashley/0000-0002-2972-2678</t>
  </si>
  <si>
    <t>10.1016/j.marpolbul.2006.11.002</t>
  </si>
  <si>
    <t>141OZ</t>
  </si>
  <si>
    <t>WOS:000244589700024</t>
  </si>
  <si>
    <t>Taylor, S; Herzog, GF; Delaney, JS</t>
  </si>
  <si>
    <t>Taylor, Susan; Herzog, Gregory F.; Delaney, Jeremy S.</t>
  </si>
  <si>
    <t>Crumbs from the crust of Vesta: Achondritic cosmic spherules from the South Pole water well</t>
  </si>
  <si>
    <t>INTERPLANETARY DUST; ACCRETION RATE; ANTARCTIC ICE; SHERGOTTITE; METEORITES; PETROLOGY; OXYGEN; IRON; MICROMETEORITES; FRACTIONATION</t>
  </si>
  <si>
    <t>Ten glass cosmic spherules (CS) from the South Pole water well collection were analyzed by electron microprobe. Nine of them have Fe/Mn and Fe/Mg ratios in the range typical of chondrites. One of them (SP37-3), along with up to six other previously analyzed CS, have nonchondritic Fe/Mn and Fe/Mg ratios that agree well with values typical of either (basaltic) howardite, eucrite, and diogenite (HED) meteorites or Martian basalts, but not of lunar samples. SP37-3 also contains an anorthite relic grain. Anorthite has not previously been reported in cosmic spherules, but is well known in HED meteorites. The much greater frequency of HEDs among hand-sized meteorites suggests but does not prove that HED precursors are more likely for the nonchondritic spherules. We estimate that HED-like micrometeorites constitute similar to 0.5 +/- 0.4% of the total population of micrometeorites in the South Pole water well a fraction that translates to a flux of 1.6 +/- 0.3 x 10(-8) g HED micrometeorites/m(2)-y. The ratio of HED-like objects to carbonaceous objects is about 100 times less in micrometeorites than among hand-size specimens. We infer that the comparative mechanical weakness of carbonaceous precursor materials tends to encourage spherule formation.</t>
  </si>
  <si>
    <t>Cold Reg Res &amp; Engn Lab, Hanover, NH 03755 USA; Rutgers State Univ, Dept Chem &amp; Biol Chem, Piscataway, NJ 08854 USA; Rutgers State Univ, Dept Geol Sci, Piscataway, NJ 08854 USA</t>
  </si>
  <si>
    <t>United States Department of Defense; United States Army; U.S. Army Corps of Engineers; U.S. Army Engineer Research &amp; Development Center (ERDC); Cold Regions Research &amp; Engineering Laboratory (CRREL); Rutgers University System; Rutgers University New Brunswick; Rutgers University System; Rutgers University New Brunswick</t>
  </si>
  <si>
    <t>Taylor, S (corresponding author), Cold Reg Res &amp; Engn Lab, 72 Lyme Rd, Hanover, NH 03755 USA.</t>
  </si>
  <si>
    <t>Susan.Taylor@erdc.usace.army.mil</t>
  </si>
  <si>
    <t>10.1111/j.1945-5100.2007.tb00229.x</t>
  </si>
  <si>
    <t>134TH</t>
  </si>
  <si>
    <t>WOS:000244106500006</t>
  </si>
  <si>
    <t>Tou, JC; Jaczynski, J; Chen, YC</t>
  </si>
  <si>
    <t>Tou, Janet C.; Jaczynski, Jacek; Chen, Yi- Chen</t>
  </si>
  <si>
    <t>Krill for human consumption: Nutritional value and potential health benefits</t>
  </si>
  <si>
    <t>NUTRITION REVIEWS</t>
  </si>
  <si>
    <t>human health; krill; nutrition</t>
  </si>
  <si>
    <t>EUPHAUSIA-SUPERBA; ANTARCTIC KRILL; FATTY-ACIDS; BIOCHEMICAL-COMPOSITION; WEIGHT-LOSS; IN-VITRO; PROTEIN; CHITOSAN; FLUORIDE; FISH</t>
  </si>
  <si>
    <t>The marine crustacean krill (order Euphausiacea) has not been a traditional food in the human diet. Public acceptance of krill for human consumption will depend partly on its nutritive value. The aim of this article is to assess the nutritive value and potential health benefits of krill, an abundant food source with high nutritional value and a variety of compounds relevant to human health. Krill is a rich source of high-quality protein, with the advantage over other animal proteins of being low in fat and a rich source of omega-3 fatly acids. Antioxidant levels in krill are higher than in fish, suggesting benefits against oxidative damage. Finally, the waste generated by the processing of krill into edible products can be developed into value-added products.</t>
  </si>
  <si>
    <t>W Virginia Univ, Div Anim &amp; Nutr Sci, Morgantown, WV 26506 USA; Chung Shan Med Univ, Sch Nutr, Taichung, Taiwan</t>
  </si>
  <si>
    <t>West Virginia University; Chung Shan Medical University</t>
  </si>
  <si>
    <t>Tou, JC (corresponding author), W Virginia Univ, Div Anim &amp; Nutr Sci, POB 6108, Morgantown, WV 26506 USA.</t>
  </si>
  <si>
    <t>janet.tou@mail.wvu.edu</t>
  </si>
  <si>
    <t>0029-6643</t>
  </si>
  <si>
    <t>1753-4887</t>
  </si>
  <si>
    <t>NUTR REV</t>
  </si>
  <si>
    <t>Nutr. Rev.</t>
  </si>
  <si>
    <t>10.1301/nr.2007.feb.63-77</t>
  </si>
  <si>
    <t>Nutrition &amp; Dietetics</t>
  </si>
  <si>
    <t>136NI</t>
  </si>
  <si>
    <t>WOS:000244231000002</t>
  </si>
  <si>
    <t>Rodehacke, CB; Hellmer, HH; Huhn, O; Beckmann, A</t>
  </si>
  <si>
    <t>Rodehacke, Christian B.; Hellmer, Hartmut H.; Huhn, Oliver; Beckmann, Aike</t>
  </si>
  <si>
    <t>Ocean/ice shelf interaction in the southern Weddell Sea: results of a regional numerical helium/neon simulation</t>
  </si>
  <si>
    <t>OCEAN DYNAMICS</t>
  </si>
  <si>
    <t>tracers; Ice shelf water; Antarctic bottom water; Southern ocean; numerical model</t>
  </si>
  <si>
    <t>RONNE ICE SHELF; CIRCULATION BENEATH; DISTILLED WATER; MODEL; NEON; ANTARCTICA; SOLUBILITY; TRACERS; VARIABILITY; NITROGEN</t>
  </si>
  <si>
    <t>Ocean/ice interaction at the base of deep-drafted Antarctic ice shelves modifies the physical properties of inflowing shelf waters to become Ice Shelf Water (ISW). In contrast to the conditions at the atmosphere/ocean interface, the increased hydrostatic pressure at the glacial base causes gases embedded in the ice to dissolve completely after being released by melting. Helium and neon, with an extremely low solubility, are saturated in glacial meltwater by more than 1000%. At the continental slope in front of the large Antarctic caverns, ISW mixes with ambient waters to form different precursors of Antarctic Bottom Water. A regional ocean circulation model, which uses an explicit formulation of the ocean/ice shelf interaction to describe for the first time the input of noble gases to the Southern Ocean, is presented. The results reveal a long-term variability of the basal mass loss solely controlled by the interaction between waters of the continental shelf and the ice shelf cavern. Modeled helium and neon supersaturations from the Filchner-Ronne Ice Shelf front show a low-pass filtering of the inflowing signal due to cavern processes. On circumpolar scales, the simulated helium and neon distributions allow us to quantify the ISW contribution to bottom water, which spreads with the coastal current connecting the major formation sites in Ross and Weddell Seas.</t>
  </si>
  <si>
    <t>Univ Bremen, Bremen, Germany; Alfred Wegener Inst Polar &amp; Marine Res, D-2850 Bremerhaven, Germany</t>
  </si>
  <si>
    <t>University of Bremen; Helmholtz Association; Alfred Wegener Institute, Helmholtz Centre for Polar &amp; Marine Research</t>
  </si>
  <si>
    <t>Rodehacke, CB (corresponding author), NASA, Goddard Inst Space Studies, New York, NY 10025 USA.</t>
  </si>
  <si>
    <t>crodehacke@giss.nasa.gov</t>
  </si>
  <si>
    <t>Hellmer, Hartmut/0000-0002-9357-9853; Rodehacke, Christian/0000-0003-3110-3857; Huhn, Oliver/0000-0003-3626-9135</t>
  </si>
  <si>
    <t>1616-7341</t>
  </si>
  <si>
    <t>1616-7228</t>
  </si>
  <si>
    <t>OCEAN DYNAM</t>
  </si>
  <si>
    <t>Ocean Dyn.</t>
  </si>
  <si>
    <t>10.1007/s10236-006-0073-2</t>
  </si>
  <si>
    <t>137OQ</t>
  </si>
  <si>
    <t>WOS:000244302300001</t>
  </si>
  <si>
    <t>Olbers, D; Lettmann, K; Timmermann, R</t>
  </si>
  <si>
    <t>Olbers, Dirk; Lettmann, Karsten; Timmermann, Ralph</t>
  </si>
  <si>
    <t>Six circumpolar currents - on the forcing of the Antarctic Circumpolar Current by wind and mixing</t>
  </si>
  <si>
    <t>Antarctic Circumpolar Current; circumpolar flow; transport theory</t>
  </si>
  <si>
    <t>GENERAL-CIRCULATION MODEL; BETA-PLANE CHANNEL; BOTTOM TOPOGRAPHY; DRIVEN CIRCULATIONS; SOUTHERN-OCEAN; NORTH-ATLANTIC; DYNAMICS; TRANSPORT; THERMOHALINE; BALANCE</t>
  </si>
  <si>
    <t>The transport of the Antarctic Circumpolar Current (ACC) is influenced by a variety of processes and parameters. A proper implementation of basin geometry, ocean topography and baroclinicity is known to be a fundamental requisite for a realistic simulation of the circulation and transport. Other, more subtle parameters are those of eddy-induced transports and diapycnal mixing of thermohaline tracers or buoyancy, either treated by eddy resolution or by a proper parameterization. Quite a number of realistic numerical simulations of the circulation in the Southern Ocean have recently been published. Many concepts on relations of the ACC transport to model parameters and forcing function are in discussion, however, without much generality and little success. We present a series of numerical simulations of circumpolar flow with a simplified numerical model, ranging from flat-bottom wind-driven flow to baroclinic flow with realistic topography and wind and buoyancy forcing. Analysis of the balances of momentum, vorticity, and baroclinic potential energy enables us to develop a new transport theory, which combines the most important mechanisms driving the circulation of the ACC and determining its zonal transport. The theory is based on the importance of the bottom vertical velocity in generating vorticity and shaping the baroclinic potential energy of the ACC. It explains the breaking of the f/h-constraint by baroclinicity and brings together in one equation the wind and buoyancy forcing of the current. The theory emphasizes the role of Ekman pumping and eddy diffusion of buoyancy to determine the transport. It also demonstrates that eddy viscosity effects are irrelevant in the barotropic vorticity balance and that friction arises via eddy diffusion of density. In this regime, the classical Stommel model of vorticity balance is revived where the bottom friction coefficient is replaced by K/lambda(2) ( with the Gent - McWilliams coefficient K and the baroclinic Rossby radius lambda) and a modified wind curl forcing appears.</t>
  </si>
  <si>
    <t>Olbers, D (corresponding author), Alfred Wegener Inst Polar &amp; Marine Res, D-27515 Bremerhaven, Germany.</t>
  </si>
  <si>
    <t>dolbers@awi-bremerhaven.de</t>
  </si>
  <si>
    <t>10.1007/s10236-006-0087-9</t>
  </si>
  <si>
    <t>WOS:000244302300002</t>
  </si>
  <si>
    <t>Golovin, PN</t>
  </si>
  <si>
    <t>Golovin, P. N.</t>
  </si>
  <si>
    <t>Efficiency of dense shelf water cascading over the continental slope of Severnaya Zemlya in the Laptev Sea and its possible contribution to the ventilation of the intermediate water in the Nansen Basin</t>
  </si>
  <si>
    <t>SOUTHERN WEDDELL SEA; ARCTIC-OCEAN; ROTATING FLUID; BOTTOM WATER; BAROCLINIC EDDIES; FLOWS; MECHANISM; ZONE; DEEP</t>
  </si>
  <si>
    <t>Comprehensive field observations of hydrological processes in the region of the continental slope of Severnaya Zemlya in the Laptev Sea allowed us to reveal descending dense (cold) shelf water over the slope (cascading) and to determine the spatiotemporal variability of the cascading [2]. The observations represented a series of polygon surveys in the autumn-winter-spring period. The estimates of the characteristics of the slope convection of the shelf water (cascading) were based on the results of laboratory and theoretical studies of the descending of the dense water over a sloping bottom in a rotating fluid with sources of different geometry. It was shown that the cascading of dense shelf water over the continental slope mainly corresponds to a smooth (geostrophic) regime. An analysis of some thermohaline and density sections indicates, however, the possibility of the development of a wave-eddy regime of cascading and/or generation of fast gravity waves in the upper part of the continental slope. The most representative estimation of the contribution of the cascading of dense shelf water on the northern continental slope of Severnaya Zemlya to the ventilation of the intermediate waters in the Nansen Basin for five winter months is approximate to 0.0614 Sv.</t>
  </si>
  <si>
    <t>Golovin, PN (corresponding author), Arctic &amp; Antarctic Res Inst, St Petersburg 199226, Russia.</t>
  </si>
  <si>
    <t>10.1134/S0001437007010079</t>
  </si>
  <si>
    <t>145AI</t>
  </si>
  <si>
    <t>WOS:000244837300007</t>
  </si>
  <si>
    <t>Pocock, T; Vetterli, A; Huner, N; Falk, S</t>
  </si>
  <si>
    <t>Pocock, T.; Vetterli, A.; Huner, N.; Falk, S.</t>
  </si>
  <si>
    <t>Synergistic effects of salinity and temperature in an extremophilic Antarctic alga (Chlamydomonas raudensis UWO 241).</t>
  </si>
  <si>
    <t>PHOTOSYNTHESIS RESEARCH</t>
  </si>
  <si>
    <t>Univ Western Ontario, Dept Biol, London, ON N6A 3K7, Canada</t>
  </si>
  <si>
    <t>0166-8595</t>
  </si>
  <si>
    <t>PHOTOSYNTH RES</t>
  </si>
  <si>
    <t>Photosynth. Res.</t>
  </si>
  <si>
    <t>FEB-MAR</t>
  </si>
  <si>
    <t>PS249</t>
  </si>
  <si>
    <t>191RZ</t>
  </si>
  <si>
    <t>WOS:000248151000626</t>
  </si>
  <si>
    <t>Stevens, MI; Hunger, SA; Hills, SFK; Gemmill, CEC</t>
  </si>
  <si>
    <t>Stevens, M. I.; Hunger, S. A.; Hills, S. F. K.; Gemmill, C. E. C.</t>
  </si>
  <si>
    <t>Phantom hitch-hikers mislead estimates of genetic variation in Antarctic mosses</t>
  </si>
  <si>
    <t>PLANT SYSTEMATICS AND EVOLUTION</t>
  </si>
  <si>
    <t>bryophytes; DNA contamination; fungi; genetic variation; protozoans; RAPDs</t>
  </si>
  <si>
    <t>SOUTHERN VICTORIA LAND; CERATODON-PURPUREUS; RAPD; DIVERSITY; DNA; MARKERS; FUNGI; DISPERSAL; CONTAMINATION; POPULATIONS</t>
  </si>
  <si>
    <t>Previous studies of Antarctic mosses employing RAPDs have reported extraordinarily high levels of genetic variation, even within a single clump of moss. This is unexpected given their extreme isolation in Antarctica and lack of sexual reproduction. We offer an alternative explanation: that unusually elevated levels of genetic variability are artefacts from contamination of a number of biota known to be naturally associated with Antarctic mosses. We utilized sequence variation of nrITS and RAPDs to further investigate the effect of naturally occurring contaminants on estimates of genetic variation of mosses. Our results indicate that these ``phantom hitch-hiker'' contaminants hinder attempts to accurately and reliably estimate levels of genetic variation by non-specific PCR-based approaches. Furthermore, screening samples via amplification of nrITS failed to identify all contaminated samples, hence we caution against relying solely on quick'' screening methods and suggest that suspect samples be carefully examined for contamination.</t>
  </si>
  <si>
    <t>Massey Univ, Allan Wilson Ctr Mol Ecol &amp; Evolut, Palmerston North, New Zealand; Univ Waikato, Ctr Biodivers &amp; Ecol Res, Hamilton, New Zealand</t>
  </si>
  <si>
    <t>Massey University; University of Waikato</t>
  </si>
  <si>
    <t>m.i.stevens@massey.ac.nz; HungerS@crop.cri.nz; S.F.Hills@massey.ac.nz; gemmill@waikato.ac.nz</t>
  </si>
  <si>
    <t>Hills, Simon F K/L-3244-2016; Gemmill, Chrissen/E-5305-2013</t>
  </si>
  <si>
    <t>Hills, Simon F K/0000-0002-9115-0375; Gemmill, Chrissen/0000-0002-1704-9893</t>
  </si>
  <si>
    <t>SPRINGER WIEN</t>
  </si>
  <si>
    <t>WIEN</t>
  </si>
  <si>
    <t>SACHSENPLATZ 4-6, PO BOX 89, A-1201 WIEN, AUSTRIA</t>
  </si>
  <si>
    <t>0378-2697</t>
  </si>
  <si>
    <t>1615-6110</t>
  </si>
  <si>
    <t>PLANT SYST EVOL</t>
  </si>
  <si>
    <t>Plant Syst. Evol.</t>
  </si>
  <si>
    <t>10.1007/s00606-006-0484-z</t>
  </si>
  <si>
    <t>Plant Sciences; Evolutionary Biology</t>
  </si>
  <si>
    <t>132FB</t>
  </si>
  <si>
    <t>WOS:000243926800005</t>
  </si>
  <si>
    <t>Davies, L; Bouvet, S; Vernon, P</t>
  </si>
  <si>
    <t>Davies, L.; Bouvet, S.; Vernon, P.</t>
  </si>
  <si>
    <t>All-year reproduction and possible thermal melanism in Amblystogenium pacificum (Coleoptera: Carabidae) on the sub-Antarctic Ile de la Possession (Iles Crozet)</t>
  </si>
  <si>
    <t>Amblystogenium; Carabidae; sub-Antarctic; reproduction; age composition; thermal melanism; dimorphism</t>
  </si>
  <si>
    <t>SOUTH-GEORGIA; LIFE-CYCLE; BEETLE; LEPIDOPTERA; PIERIDAE; SURVIVAL; ECOLOGY; EDGE</t>
  </si>
  <si>
    <t>In the fell-field habitat at 140-270 in altitude on the sub-Antarctic Ile de la Possession, Iles Crozet, the dimorphic beetle Amblystogenium pacificum Putzeys (Coleoptera: Carabidae) was studied monthly throughout the southern year 1993-1994 by timed hand collections involving turning stones on the rocky fell-field. There were many mating couples and females containing well-developed eggs in every month and the species reproduced throughout the year, with no evidence of a winter cessation of egg production. However, the frequency of mating couples was about twice as great in the summer half-year (October-March) as in the winter half (April-September). Relatively small differences in monthly mean temperatures between the summer and winter at Iles Crozet render all-year reproduction not unexpected when comparisons are made with the temperatures and phenology of Carabidae in cool habitats in other parts of the world. Mating pairs were collected at unusually high frequencies for carabids. The frequency of such pairs, taken per unit effort by hand collecting, was highest in October-December, lower from January to May and intermediate from June to September. Comparison of beetles taken as solitary, non-mating individuals with those taken as mating couples showed that in summer, females of the black morph of this dimorphic species were more frequently involved in mating than expected, but no differences were detected in winter. Female beetles were divided into younger individuals (putative age 1-2 years) and older females (putative age 3-5 years or more) by the amount of claw-wear on individuals of this species. This division indicated that about 40% of the older females showed no egg development when captured, but only about 20% of the younger females were non-breeding. However, of the reproducing beetles, young and old females matured similar numbers of eggs. An altitude transect showed that the proportion of the black morph increased significantly with altitude. Studies at 140-270 in showed that a significantly smaller proportion of the older females of the brown morph were breeding than in the younger brown individuals, and this effect was particularly evident in the colder winter period. No such age differences existed amongst the black morph.</t>
  </si>
  <si>
    <t>Univ Rennes 1, UMR CNRS ICC 6553, Stn Biol Paimpont, F-35380 Paimpont, France</t>
  </si>
  <si>
    <t>Universite de Rennes</t>
  </si>
  <si>
    <t>Vernon, P (corresponding author), Univ Rennes 1, UMR CNRS ICC 6553, Stn Biol Paimpont, F-35380 Paimpont, France.</t>
  </si>
  <si>
    <t>philippe.vernon@univ-rennes1.fr</t>
  </si>
  <si>
    <t>Vernon, Philippe/A-9019-2010</t>
  </si>
  <si>
    <t>Vernon, Philippe/0000-0002-6237-7511</t>
  </si>
  <si>
    <t>10.1007/s00300-006-0240-4</t>
  </si>
  <si>
    <t>136HH</t>
  </si>
  <si>
    <t>WOS:000244212700001</t>
  </si>
  <si>
    <t>Goebel, ME; Lipsky, JD; Reiss, CS; Loeb, VJ</t>
  </si>
  <si>
    <t>Goebel, Michael E.; Lipsky, Jessica D.; Reiss, Christian S.; Loeb, Valerie J.</t>
  </si>
  <si>
    <t>Using carapace measurements to determine the sex of Antarctic krill, Euphausia superba</t>
  </si>
  <si>
    <t>SOUTH GEORGIA; FUR SEALS; POPULATION-DYNAMICS; MACARONI PENGUINS; MARINE ECOSYSTEM; FEEDING ECOLOGY; PREDATORS; GROWTH; NETS; DIET</t>
  </si>
  <si>
    <t>Krill (Euphausia superba) carapace measurements (length and width; mm) collected from plankton tows in the South Shetland Islands (SSI), Antarctica are used to test the generality of a common discriminant function developed to reconstruct krill length frequencies in Antarctic fur seal diets for the area surrounding South Georgia (SG). Total length and sex ratio of krill in the SSI were overestimated by 5.6 and 154%, respectively, when the SG allometric equations were applied to 3 years (2003-2005) of data. These errors arise and increase as a result of krill population dynamics, specifically recruitment that contributes large proportions of immature krill, misclassified as males by the SG discriminant function. We develop sex-specific regression models based on separate discriminant functions that provide significantly better discriminatory power. However, our analysis indicates that reconstructions of krill sex ratio and length composition in the ocean environment are less reliable in years when the ratio of immature to mature krill is high. For the SSI area, five out of 14 years (35.7%) surveyed (1992-2005) had proportions of immature to mature adult krill &gt;= 0.50.</t>
  </si>
  <si>
    <t>NOAA, Antarctic Ecosyst Res Div, NMFS, SW Fisheries Sci Ctr, La Jolla, CA 92037 USA; Moss Landing Marine Labs, Moss Landing, CA 95039 USA</t>
  </si>
  <si>
    <t>National Oceanic Atmospheric Admin (NOAA) - USA; Moss Landing Marine Laboratories</t>
  </si>
  <si>
    <t>Goebel, ME (corresponding author), NOAA, Antarctic Ecosyst Res Div, NMFS, SW Fisheries Sci Ctr, 8604 La Jolla Shores Dr, La Jolla, CA 92037 USA.</t>
  </si>
  <si>
    <t>mike.goebel@noaa.gov</t>
  </si>
  <si>
    <t>10.1007/s00300-006-0184-8</t>
  </si>
  <si>
    <t>WOS:000244212700006</t>
  </si>
  <si>
    <t>van Vuuren, BJ; Chown, SL</t>
  </si>
  <si>
    <t>van Vuuren, Bettine Jansen; Chown, Steven L.</t>
  </si>
  <si>
    <t>Genetic evidence confirms the origin of the house mouse on sub-Antarctic Marion Island</t>
  </si>
  <si>
    <t>Mus musculus; Marion Island; mitochondrial DNA; biological invasion</t>
  </si>
  <si>
    <t>PRINCE-EDWARD-ISLANDS; MUS-MUSCULUS-DOMESTICUS; MITOCHONDRIAL-DNA; CLIMATE-CHANGE; SOUTHERN-OCEAN; GOUGH ISLAND; MICE MUS; CONSERVATION; CATS; COLONIZATION</t>
  </si>
  <si>
    <t>Biological invasions and climate change are two of the largest threats to biodiversity, and this is especially true for island ecosystems that have largely evolved in isolation. The house mouse is considered to have been introduced to sub-Antarctic Marion Island by sealers in the early 1800s. It is currently widespread across the island and has a large impact on the indigenous biota. To date, little information is available on genetic aspects of biological invasions in the sub-Antarctic. Ten specimens of the house mouse were collected from two geographically separated localities on Marion Island. Sequences of the mitochondrial DNA control region revealed only two haplotypes, separated by a single site change. More importantly, these haplotypes are shared between the eastern and western side of Marion Island. By comparing our sequences to data available on GenBank, we provide evidence that house mice on Marion Island is Mus musculus domesticus (Rutty 1772), and most closely related to haplotypes characterizing this species from Denmark, Sweden, Finland, and northern Germany.</t>
  </si>
  <si>
    <t>Univ Stellenbosch, Dept Bot &amp; Zool, Ctr Invas Biol, ZA-7602 Stellenbosch, South Africa</t>
  </si>
  <si>
    <t>van Vuuren, BJ (corresponding author), Univ Stellenbosch, Dept Bot &amp; Zool, Ctr Invas Biol, Private Bag X1, ZA-7602 Stellenbosch, South Africa.</t>
  </si>
  <si>
    <t>Jansen van Vuuren, Bettine/E-6227-2013; Chown, Steven/ABD-7646-2021; Chown, Steven L/H-3347-2011</t>
  </si>
  <si>
    <t>Jansen van Vuuren, Bettine/0000-0002-5334-5358;</t>
  </si>
  <si>
    <t>10.1007/s00300-006-0188-4</t>
  </si>
  <si>
    <t>WOS:000244212700009</t>
  </si>
  <si>
    <t>Matallanas, J; Olaso, I</t>
  </si>
  <si>
    <t>Matallanas, J.; Olaso, I.</t>
  </si>
  <si>
    <t>Fishes of the Bellingshausen Sea and Peter I Island</t>
  </si>
  <si>
    <t>ANTARCTIC ICEFISHES CHANNICHTHYIDAE; SOUTH SHETLAND ISLANDS; DEEP ARABIAN SEA; SCAVENGER ASSEMBLAGES; NOTOTHENIOID FISHES; UNIQUE FAMILY; ROSS SEA; PERCIFORMES; ECOLOGY; FAUNA</t>
  </si>
  <si>
    <t>The unknown benthic ichthyofauna of the Bellingshausen Sea was analysed. Some data concerning the ichthyofauna of Peter I Island were also included. A total of 583 specimens belonging to 32 species were collected mainly by an Agassiz trawl and baited traps set between 86 and 1,947 m depth. A total of 72.2% of the specimens (89.0% of them Nototheniidae) were caught with the Agassiz trawl, whereas 27.8% of the individuals (90.1% of them Zoarcidae) were captured with traps. The Bellingshausen Sea ichthyofauna was dominated by Zoarcidae (43.9% of individuals, 35.8% by weight) and Nototheniidae (43.0 and 15.2%, respectively). Twenty-two of the 23 species captured in the Bellingshausen Sea are reported for the first time from this area. Trematomus scotti was the dominant nototheniid in the Bellingshausen Sea whereas Lepidonotothen larseni was dominant off Peter I Island.</t>
  </si>
  <si>
    <t>Univ Autonoma Barcelona, Fac Ciencias, Unidad Zool, E-08193 Barcelona, Spain; Inst Espanol Oceanog, Santander 39004, Spain</t>
  </si>
  <si>
    <t>Autonomous University of Barcelona; University of Barcelona; Spanish Institute of Oceanography</t>
  </si>
  <si>
    <t>Matallanas, J (corresponding author), Univ Autonoma Barcelona, Fac Ciencias, Unidad Zool, E-08193 Barcelona, Spain.</t>
  </si>
  <si>
    <t>jesus.matallanas@uab.es</t>
  </si>
  <si>
    <t>10.1007/s00300-006-0189-3</t>
  </si>
  <si>
    <t>WOS:000244212700010</t>
  </si>
  <si>
    <t>Palma, AT; Poulin, E; Silva, MG; San Martín, RB; Muñoz, CA; Díaz, AD</t>
  </si>
  <si>
    <t>Palma, Alvaro T.; Poulin, Elie; Silva, Marcelo G.; San Martin, Roberto B.; Munoz, Carlos A.; Diaz, Angie D.</t>
  </si>
  <si>
    <t>Antarctic shallow suhtidal echinoderms:: is the ecological success of broadcasters related to ice disturbance?</t>
  </si>
  <si>
    <t>KING-GEORGE ISLAND; SOUTH-SHETLAND ISLANDS; COMMUNITY STRUCTURE; KERGUELEN ISLANDS; BENTHIC COMMUNITY; ADELAIDE ISLAND; ABATUS-CORDATUS; MCMURDO SOUND; SEA; REPRODUCTION</t>
  </si>
  <si>
    <t>One characteristic pattern found in the marine Antarctic shallow environments is the unusually high proportion of species with protected and pelagic lecitotrophic development modes. However, species with planktotrophic development generally appear as the most conspicuous types of organisms in these environments. The Antarctic shallow benthos is considered as one of the most disturbed in the world, mainly due to the action of ice, thus one could hypothesize that such an environment should favor organisms with high dispersal capability. In order to test this general hypothesis, for two consecutive summers (2004-2005) and at two locations, we quantified the abundance and size distribution of most echinoderms present along bathymetric transects. Our results show the predominance of broadcasters (i.e., Sterechinus neumayeri and Odontaster validus) at a location where disturbances are common, while brooders (e.g., Abatus agassizii) only occurred at shallower depths of the least disturbed location. These results not only corroborate the hypothesis that local disturbance is an important factor generating these ecological patterns, but also suggest how ice-related disturbances could represent a major selecting agent behind the patterns of species diversity at an evolutionary scale in Antarctica.</t>
  </si>
  <si>
    <t>Catholic Univ Chile, Dept Ecol, Santiago, Chile; Ctr Adv Studies Ecol &amp; Biodivers, Santiago, Chile; Univ Chile, Dept Ciencias Ecol, Fac Ciencias, Inst Ecol &amp; Biodivers, Santiago 7800024, Chile; Univ Los Lagos, Osorno, Chile</t>
  </si>
  <si>
    <t>Pontificia Universidad Catolica de Chile; Universidad de Chile; Universidad de Los Lagos</t>
  </si>
  <si>
    <t>Palma, AT (corresponding author), Catholic Univ Chile, Dept Ecol, Alameda 340 Casilla 114-D, Santiago, Chile.</t>
  </si>
  <si>
    <t>apalma@bio.puc.cl</t>
  </si>
  <si>
    <t>Poulin, Elie/C-2654-2012; Díaz, Angie/I-8033-2016</t>
  </si>
  <si>
    <t>Poulin, Elie/0000-0001-7736-0969;</t>
  </si>
  <si>
    <t>10.1007/s00300-006-0190-x</t>
  </si>
  <si>
    <t>WOS:000244212700011</t>
  </si>
  <si>
    <t>Laybourn-Parry, J; Marshall, WA; Madan, NJ</t>
  </si>
  <si>
    <t>Laybourn-Parry, Johanna; Marshall, William A.; Madan, Nanette J.</t>
  </si>
  <si>
    <t>Viral dynamics and patterns of lysogeny in saline Antarctic lakes</t>
  </si>
  <si>
    <t>Antarctic lakes; bacteria lysogeny; primary production; production viruses</t>
  </si>
  <si>
    <t>MARINE VIRUSES; BACTERIAL MORTALITY; COASTAL SEAWATER; AQUATIC SYSTEMS; ABUNDANCE; WATERS; VIRIOPLANKTON; SEA; BACTERIOPLANKTON; PHYTOPLANKTON</t>
  </si>
  <si>
    <t>Antarctic lakes are extreme ecosystems with microbially dominated food webs, in which viruses may be important in controlling community dynamics. A year long investigation of two Antarctic saline lakes (Ace and Pendant Lakes) revealed high concentrations of virus like particles (VLP) (0.20-1.26 x 10(8) ml(-1)), high VLP: bacteria ratios (maximum 70.6) and a seasonal pattern of lysogeny differing from that seen at lower latitudes. Highest rates of lysogeny (up to 32% in Pendant Lake and 71% in Ace Lake) occurred in winter and spring, with low or no lysogeny in summer. Rates of virus production (range 0.176-0.823 x 10(6) viruses ml(-1) h(-1)) were comparable to lower latitude freshwater lakes. In Ace Lake VLP did not correlate with bacterial cell concentration or bacterial production but correlated positively with primary production, while in Pendant Lake VLP abundance correlated positively with both bacterial cell numbers and bacterial production but not with primary production. In terms of virus and bacterial dynamics the two saline Antarctic takes studied appear distinct from other aquatic ecosystems investigated so far, in having very high viral to bacterial ratios (VBR) and a very high occurrence of lysogeny in winter.</t>
  </si>
  <si>
    <t>Univ Keele, Fac Nat Sci, Inst Environm Phys Sci &amp; Appl Math, Keele ST5 5BG, Staffs, England; Univ Nottingham, Sch Biosci, Nottingham NG7 3RD, England</t>
  </si>
  <si>
    <t>Keele University; University of Nottingham</t>
  </si>
  <si>
    <t>Laybourn-Parry, J (corresponding author), Univ Keele, Fac Nat Sci, Inst Environm Phys Sci &amp; Appl Math, Keele ST5 5BG, Staffs, England.</t>
  </si>
  <si>
    <t>j.laybourn-parry@natsci.keele.ac.uk</t>
  </si>
  <si>
    <t>10.1007/s00300-006-0191-9</t>
  </si>
  <si>
    <t>WOS:000244212700012</t>
  </si>
  <si>
    <t>Otley, H; Reid, T; Phillips, R; Wood, A; Phalan, B; Forster, I</t>
  </si>
  <si>
    <t>Otley, Helen; Reid, Tim; Phillips, Richard; Wood, Andy; Phalan, Ben; Forster, Isaac</t>
  </si>
  <si>
    <t>Origin, age, sex and breeding status of wandering albatrosses (Diomedea exulans), northern (Macronectes halli) and southern giant petrels (Macronectes giganteus) attending demersal longliners in Falkland Islands and Scotia Ridge waters, 2001-2005</t>
  </si>
  <si>
    <t>SEABIRD MORTALITY; POPULATION-DYNAMICS; FISHERY; AUSTRALIA; TRAWLERS; ECOLOGY; GEORGIA; DIETS</t>
  </si>
  <si>
    <t>A total of 547 sightings of 291 banded wandering albatrosses Diomedea exulans and 21 sightings of 14 banded giant petrels Macronectes spp. were made from toothfish longliners operating on the southern Patagonian Shelf during 2001-2005. This included 25% of the wandering albatrosses with Darvic bands that bred at Bird Island (South Georgia) during this period. Thirteen of the northern Macronectes halli and southern giant petrels Macronectesgiganteus had been banded at South Georgia, and there was one sighting of a southern giant petrel from Argentina. Male and female wandering albatrosses of all age classes except young birds (&lt; 15 years old) were equally likely to attend longline vessels. Most sightings of all age classes were made during the incubation period and fewest during the brood period. Eighty-six percent of birds sighted had bred at least once before, with half currently breeding and half on sabbatical (i.e. between breeding attempts). Almost half of the wandering albatrosses were sighted on more than one occasion. The data confirms that the southern Patagonian shelf is an important foraging area for wandering albatrosses and northern and southern giant petrels, and that some individuals show consistent associations in multiple years with longline vessels fishing in the region.</t>
  </si>
  <si>
    <t>Falkland Isl Fisheries Dept, Stanley FIQQ 1ZZ, Falkland Isl, England; Falklands Conservat, Stanley FIQQ 1ZZ, Falkland Isl, England; British Antarctic Survey, NERC, Cambridge CB3 0ET, England</t>
  </si>
  <si>
    <t>Otley, H (corresponding author), Falkland Isl Fisheries Dept, Stanley FIQQ 1ZZ, Falkland Isl, England.</t>
  </si>
  <si>
    <t>heleno@southcom.com.au</t>
  </si>
  <si>
    <t>Phalan, Ben/A-5783-2009</t>
  </si>
  <si>
    <t>Phalan, Ben/0000-0001-7876-7226</t>
  </si>
  <si>
    <t>10.1007/s00300-006-0192-8</t>
  </si>
  <si>
    <t>WOS:000244212700013</t>
  </si>
  <si>
    <t>Jordao, AEC; Cogliati, B; Jensch-Junior, BE; Pressinotti, LN; Parra, OM; Hernandez-Blazquez, FJ; da Silva, JRMC</t>
  </si>
  <si>
    <t>Correia Jordao, Amarildo Emanuel; Cogliati, Bruno; Jensch-Junior, Bernard Ernesto; Pressinotti, Leandro Nogueira; Parra, Osorio Miguel; Hernandez-Blazquez, Francisco Javier; Cunha da Silva, Jose Roberto Machado</t>
  </si>
  <si>
    <t>Liver response of the Antarctic fish (Notothenia corikeps Richardson, 1844) to hepatotrophic factors</t>
  </si>
  <si>
    <t>Notothenia coriiceps; liver; hepatothrophic; Antarctic fish</t>
  </si>
  <si>
    <t>The Notothenia coriiceps liver is commonly infected with parasites, reducing the hepatic mass and inducing the regeneration. In order to better understand the effect of nutrient influx on hepatic regeneration at 0 degrees C, a usual mammal hepatotrophic factor (HF) solution was injected into ten fish (HF group), while ten fish were injected with saline solution (control), twice a day, for 15 days. The liver and carcass weight were measured, and samples were obtained for histological studies. The HF group presented a higher liver/ carcass weight (62.5%) than control group. This increase in liver mass was due mainly to hepatocytes hypertrophy, including nuclear size increase and cytoplasmic inclusions of glycogen. Hyperplasia is also observed, although to a lesser extent. The hepatic reaction to HF in Antarctic fish was here demonstrated for the first time, helping to understand the liver response to seasonal nutrient.</t>
  </si>
  <si>
    <t>Univ Sao Paulo, Dept Cellular &amp; Dev Biol, Biomed Sci Inst, BR-05508900 Sao Paulo, Brazil; Univ Sao Paulo, Dept Surg, Sch Vet Med &amp; Zootech, Sao Paulo, Brazil</t>
  </si>
  <si>
    <t>Universidade de Sao Paulo; Universidade de Sao Paulo</t>
  </si>
  <si>
    <t>da Silva, JRMC (corresponding author), Univ Sao Paulo, Dept Cellular &amp; Dev Biol, Biomed Sci Inst, Prof Lineu Prestes,1524,Cidade Univ, BR-05508900 Sao Paulo, Brazil.</t>
  </si>
  <si>
    <t>amarildojordao@hotmail.com</t>
  </si>
  <si>
    <t>Hernandez-Blazquez, Francisco Javier/K-5450-2014; Silva, J.R.M.C./H-7496-2016; Cogliati, Bruno/E-9956-2012</t>
  </si>
  <si>
    <t>Silva, J.R.M.C./0000-0002-1687-8526; Cogliati, Bruno/0000-0002-1388-7240</t>
  </si>
  <si>
    <t>10.1007/s00300-006-0195-5</t>
  </si>
  <si>
    <t>WOS:000244212700016</t>
  </si>
  <si>
    <t>Pálsdóttir, HM; Gudmundsdóttir, A</t>
  </si>
  <si>
    <t>Palsdottir, Helga Margret; Gudmundsdottir, Agusta</t>
  </si>
  <si>
    <t>Expression and purification of a cold-adapted group III trypsin in Escherichia coli</t>
  </si>
  <si>
    <t>trypsin Y; group III trypsin; Atlantic cod (Gadus morhua); Escherichia coli; expression</t>
  </si>
  <si>
    <t>COD GADUS-MORHUA; SERINE PROTEINASE; ANTARCTIC KRILL; ENZYMES; ADAPTATION; STABILITY; CLONING; IDENTIFICATION; EUPHAUSERASE; SUBTILISIN</t>
  </si>
  <si>
    <t>The recently classified group III trypsins include members like Atlantic cod (Gadus morhua) trypsin Y as well as seven analogues from other cold-adapted fish species. The eight group Ill trypsins have been characterized from their cDNAs and deduced amino acid sequences but none of the enzymes have been isolated from their native sources. This study describes the successful expression and purification of a recombinant HP-thioredoxin-trypsin Y fusion protein in the His-Patch ThioFusion Escherichia coli expression system and its purification by chromatographic methods. The recombinant form of trypsin Y was previously expressed in Pichia pastoris making it the first biochemically characterized group III trypsin. It has dual substrate specificity towards trypsin and chymotrypsin substrates and demonstrates an increasing activity at temperatures between 2 and 21 degrees C with a complete inactivation at 30 degrees C. The aim of the study was to facilitate further studies of recombinant trypsin Y by finding an expression system yielding higher amounts of the enzyme than possible in our hands in the P. pastoris system. Also, commercial production of trypsin Y will require an efficient and inexpensive expression system like the His-Patch ThioFusion E coli expression system described here as the enzyme is produced in very low amounts in the Atlantic cod. (c) 2006 Elsevier Inc. All rights reserved.</t>
  </si>
  <si>
    <t>Univ Iceland, Inst Sci, IS-101 Reykjavik, Iceland</t>
  </si>
  <si>
    <t>University of Iceland</t>
  </si>
  <si>
    <t>Gudmundsdóttir, A (corresponding author), Univ Iceland, Inst Sci, Vatnsmyrarvegi 16, IS-101 Reykjavik, Iceland.</t>
  </si>
  <si>
    <t>ag@hi.is</t>
  </si>
  <si>
    <t>10.1016/j.pep.2006.06.008</t>
  </si>
  <si>
    <t>136GH</t>
  </si>
  <si>
    <t>WOS:000244210100014</t>
  </si>
  <si>
    <t>Arz, HW; Lamy, F; Ganopolski, A; Nowaczyk, N; Pätzold, J</t>
  </si>
  <si>
    <t>Arz, Helge W.; Lamy, Frank; Ganopolski, Andrey; Nowaczyk, Norbert; Paetzold, Juergen</t>
  </si>
  <si>
    <t>Dominant Northern Hemisphere climate control over millennial-scale glacial sea-level variability</t>
  </si>
  <si>
    <t>YOUNGER DRYAS EVENT; RED-SEA; LAST DEGLACIATION; CALIBRATION CURVE; OCEAN CIRCULATION; GEOMAGNETIC-FIELD; SOUTH ATLANTIC; SYSTEM MODEL; ICELAND SEA; TIME SCALES</t>
  </si>
  <si>
    <t>Based on a radiocarbon and paleomagnetically dated sediment record from the northern Red Sea and the exceptional sensitivity of the regional changes in the oxygen isotope composition of sea water to the sea-level-dependent water exchange with the Indian Ocean, we provide a new global sea-level reconstruction spanning the last glacial period. The sea-level record has been extracted from the temperature-corrected benthic stable oxygen isotopes using coral-based sea-level data as constraints for the sea-level/oxygen isotope relationship. Although, the general features of this millennial-scale sea-level records have strong similarities to the rather symmetric and gradual Southern Hemisphere climate patterns, we observe, in constrast to previous findings, pronounced sea level rises of up to 25 in to generally correspond with Northern Hemisphere warmings as recorded in Greenland ice-core interstadial intervals whereas sea-level lowstands mostly occur during cold phases. Corroborated by CLIMBER-2 model results, the close connection of millennial-scale sea-level changes to Northern Hemisphere temperature variations indicates a primary climatic control on the mass balance of the major Northern Hemisphere ice sheets and does not require a considerable Antarctic contribution. (c) 2006 Elsevier Ltd. All rights reserved.</t>
  </si>
  <si>
    <t>Geoforschungszentrum Potsdam, D-14473 Potsdam, Germany; Potsdam Inst Climate Impact Res, D-14473 Potsdam, Germany; Univ Bremen, Res Ctr Ocean Margins, D-28359 Bremen, Germany</t>
  </si>
  <si>
    <t>Helmholtz Association; Helmholtz-Center Potsdam GFZ German Research Center for Geosciences; Potsdam Institut fur Klimafolgenforschung; University of Bremen</t>
  </si>
  <si>
    <t>Arz, HW (corresponding author), Geoforschungszentrum Potsdam, Telegrafenberg, D-14473 Potsdam, Germany.</t>
  </si>
  <si>
    <t>harz@gfz-potsdam.de</t>
  </si>
  <si>
    <t>Arz, Helge W/A-6659-2013; Ganopolski, Andrey/F-6811-2013; Patzold, Jurgen/D-5111-2017; Lamy, Frank/H-3611-2014</t>
  </si>
  <si>
    <t>Arz, Helge Wolfgang/0000-0002-1997-1718; Patzold, Jurgen/0000-0001-8074-4103; Lamy, Frank/0000-0001-5952-1765</t>
  </si>
  <si>
    <t>10.1016/j.quascirev.2006.07.016</t>
  </si>
  <si>
    <t>158GH</t>
  </si>
  <si>
    <t>WOS:000245779200005</t>
  </si>
  <si>
    <t>Smith, JA; Bentley, MJ; Hodgson, DA; Roberts, SJ; Leng, MJ; Lloyd, JM; Barrett, MS; Bryant, C; Sugden, DE</t>
  </si>
  <si>
    <t>Smith, James A.; Bentley, Michael J.; Hodgson, Dominic A.; Roberts, Stephen J.; Leng, Melanie J.; Lloyd, Jeremy M.; Barrett, Melissa S.; Bryant, Charlotte; Sugden, David E.</t>
  </si>
  <si>
    <t>Oceanic and atmospheric forcing of early Holocene ice shelf retreat, George VI Ice Shelf, Antarctica Peninsula</t>
  </si>
  <si>
    <t>LAST GLACIAL MAXIMUM; BENTHIC FORAMINIFERAL ASSEMBLAGES; WEDDELL SEA; PALMER-DEEP; ROSS SEA; DIATOM ASSEMBLAGES; SURFACE SEDIMENTS; WINDMILL ISLANDS; MARINE-SEDIMENTS; EAST ANTARCTICA</t>
  </si>
  <si>
    <t>We use lake sediment records from an epishelf lake on Alexander Island to provide a detailed picture of the Holocene history of George VI Ice Shelf (GVI-IS). Core analyses included; micropaleontology (diatoms/foraminifera), stable isotope (delta O-18, delta C-13), geochemistry (total organic carbon (TOC), total nitrogen (TN), C/N ratios) and grain-size analyses. These data provide robust evidence for one period of past ice shelf absence during the early Holocene. The timing of this period has been constrained by 10 AMS C-14 dates performed on mono-specific foraminifera samples. These dates suggest that GVI-IS was absent between c 9600 cal yr BP and c 7730 cal yr BP. This early Holocene collapse immediately followed a period of maximum Holocene warmth that is recorded in some Antarctic ice cores and coincides with an influx of warmer ocean water onto the western Antarctic Peninsula (AP) shelf at c 9000 cal yr BP. The absence of a currently extant ice shelf during this time interval suggests that early Holocene ocean-atmosphere variability in the AP was greater than that measured in recent decades. (c) 2006 Elsevier Ltd. All rights reserved.</t>
  </si>
  <si>
    <t>British Antarctic Survey, NERC, Cambridge CB3 0ET, England; Univ Durham, Dept Geog, Durham DH1 3LE, England; British Geol Survey, Natl Environm Res Council, Isotope Geosci Lab, Keyworth NG12 5GG, Notts, England; NERC, Radiocarbon Lab, E Kilbride G75 OQF, Lanark, Scotland; Univ Edinburgh, Inst Geog, Sch Geosci, Edinburgh EH8 9XP, Midlothian, Scotland</t>
  </si>
  <si>
    <t>UK Research &amp; Innovation (UKRI); Natural Environment Research Council (NERC); NERC British Antarctic Survey; Durham University; UK Research &amp; Innovation (UKRI); Natural Environment Research Council (NERC); NERC British Geological Survey; UK Research &amp; Innovation (UKRI); Natural Environment Research Council (NERC); University of Edinburgh</t>
  </si>
  <si>
    <t>Smith, JA (corresponding author), British Antarctic Survey, NERC, Madingley Rd,High Cross, Cambridge CB3 0ET, England.</t>
  </si>
  <si>
    <t>Bentley, Michael J/F-7386-2011; Smith, James A/N-1836-2013</t>
  </si>
  <si>
    <t>Bentley, Michael J/0000-0002-2048-0019; Leng, Melanie/0000-0003-1115-5166; Barrett, Melissa/0000-0002-8202-5476; Roberts, Stephen/0000-0003-3407-9127</t>
  </si>
  <si>
    <t>Natural Environment Research Council [nigl010001, bas010016] Funding Source: researchfish; NERC [bas010016, nigl010001] Funding Source: UKRI</t>
  </si>
  <si>
    <t>10.1016/j.quascirev.2006.05.006</t>
  </si>
  <si>
    <t>WOS:000245779200018</t>
  </si>
  <si>
    <t>Smith, VR</t>
  </si>
  <si>
    <t>Smith, V. R.</t>
  </si>
  <si>
    <t>Introduced slugs and indigenous caterpillars as facilitators of carbon and nutrient mineralisation on a sub-Antarctic island</t>
  </si>
  <si>
    <t>SOIL BIOLOGY &amp; BIOCHEMISTRY</t>
  </si>
  <si>
    <t>Sub-Antarctic; moth larva; slug; soil fauna; soil macroinvertebrate; nutrient mineralisation; nutrient cycling; carbon mineralisation; litter respiration; C : N ratio; microcosm; alien biota</t>
  </si>
  <si>
    <t>MICROBIAL BIOMASS; PLANT-COMMUNITIES; MICROCOSM EXPERIMENT; MIRE-GRASSLANDS; STANDING CROP; MARION-ISLAND; CAST MATERIAL; DYNAMICS; RESPIRATION; MACROINVERTEBRATES</t>
  </si>
  <si>
    <t>indigenous soil macroinvertebrates (moth larvae, weevil larvae, earthworms) are cardinal agents of nutrient release from litter on sub-Antarctic Marion Island (47 degrees S, 38 degrees'E). Their populations are threatened through predation by introduced house mice, which do not prey on an introduced slug Deroceras panormitanum. A microcosm study was carried out to explore whether slugs affect rates of carbon and inorganic nutrient mineralisation from plant litter differently to an indigenous caterpillar (larva of a flightless moth Pringelophaga marioni). Caterpillars stimulated N, Ca, Mg and K mineralisation from plant litter two to five times more than slugs did, whereas the two invertebrate types stimulated C and P mineralisation to the same degree. Consequently, ratios of C:N and N:P released from the litter were different for slugs and caterpillars. Such differences might affect peat nutrient quality and ultimately the peat accumulation-decomposition balance, an important driver of ecological succession. This suggests that slugs cannot simply replace caterpillars without consequences for ecosystem structure and functioning on the island. (c) 2006 Elsevier Ltd. All rights reserved.</t>
  </si>
  <si>
    <t>Univ Stellenbosch, Dept Bot &amp; Zool, ZA-7602 Matieland, South Africa</t>
  </si>
  <si>
    <t>Smith, VR (corresponding author), Univ Stellenbosch, Dept Bot &amp; Zool, Private Bag 1, ZA-7602 Matieland, South Africa.</t>
  </si>
  <si>
    <t>vs2@sun.ac.za</t>
  </si>
  <si>
    <t>0038-0717</t>
  </si>
  <si>
    <t>SOIL BIOL BIOCHEM</t>
  </si>
  <si>
    <t>Soil Biol. Biochem.</t>
  </si>
  <si>
    <t>10.1016/j.soilbio.2006.09.026</t>
  </si>
  <si>
    <t>122ES</t>
  </si>
  <si>
    <t>WOS:000243209100037</t>
  </si>
  <si>
    <t>Read, KA; Lewis, AC; Salmon, RA; Jones, AE; Bauguitte, S</t>
  </si>
  <si>
    <t>Read, Katie A.; Lewis, Alastair C.; Salmon, Rhian A.; Jones, Anna E.; Bauguitte, Stephane</t>
  </si>
  <si>
    <t>OH and halogen atom influence on the variability of non-methane hydrocarbons in the Antarctic boundary layer</t>
  </si>
  <si>
    <t>SEASONAL-VARIATIONS; ORGANIC-COMPOUNDS; SURFACE SNOW; SUMMIT; OZONE; GASES; SITE; ATMOSPHERE; STATION; ETHANE</t>
  </si>
  <si>
    <t>Measurements of C-2-C-8 non-methane hydrocarbons (NMHCs) have been made in situ at Halley Base, Antarctica (75 degrees 35'S, 26 degrees 19'W) from February 2004 to February 2005 as part of the Chemistry of the Antarctic Boundary Layer and the Interface with Snow (CHABLIS) experiment. The data show long- and short-term variabilities in NMHCs controlled by the seasonal and geographic dependence of emissions and variation in atmospheric removal rates and pathways. Ethane, propane, iso-butane, n-butane and acetylene abundances followed a general OH-dependent sinusoidal seasonal cycle. The yearly averages were 186, 31, 3.2, 4.9 and 19 pptV, respectively, lower than those which were reported in some previous studies. Superimposed on a seasonal cycle was shorter-term variability that could be attributed to both synoptic airmass variability and localized loss processes due to other radical species. Hydrocarbon variability during periods of hour-to-day-long surface O-3 depletion in late winter/early spring indicated active halogen atom chemistry estimated to be in the range 1.7 x 10(3)-3.4 x 10(4) atom cm(-3) for Cl and 4.8 x 10(6)-9.6 x 10(7) atom cm(-3) for Br. Longer-term negative deviations from sinusoidal behaviour in the late August were indicative of NMHC reaction with a persistent [Cl] of 2.3 x 10(3) atom cm(-3). Maximum ethene and propene of 157 and 179 pptV, respectively, were observed in the late February/early March, consistent with increased oceanic biogenic emissions; however, their presence was significant year-round (June-August concentrations of 17.1 +/- 18.3 and 7.9 +/- 20.0 pptV, respectively).</t>
  </si>
  <si>
    <t>Univ York, Dept Chem, York YO19 4RR, N Yorkshire, England; British Antarctic Survey, Cambridge CB3 0ET, England</t>
  </si>
  <si>
    <t>University of York - UK; UK Research &amp; Innovation (UKRI); Natural Environment Research Council (NERC); NERC British Antarctic Survey</t>
  </si>
  <si>
    <t>Read, KA (corresponding author), Univ York, Dept Chem, York YO19 4RR, N Yorkshire, England.</t>
  </si>
  <si>
    <t>km519@york.ac.uk</t>
  </si>
  <si>
    <t>; Lewis, Alastair/A-6721-2008</t>
  </si>
  <si>
    <t>Read, Katie/0000-0002-4044-455X; Lewis, Alastair/0000-0002-4075-3651</t>
  </si>
  <si>
    <t>Natural Environment Research Council [ncas10006, NER/G/S/2001/00010] Funding Source: researchfish; NERC [ncas10006] Funding Source: UKRI</t>
  </si>
  <si>
    <t>10.1111/j.1600-0889.2006.00226.x</t>
  </si>
  <si>
    <t>128TH</t>
  </si>
  <si>
    <t>WOS:000243681100003</t>
  </si>
  <si>
    <t>Longinelli, A; Giglio, F; Langone, L; Lenaz, R; Ori, C; Selmo, E</t>
  </si>
  <si>
    <t>Longinelli, Antonio; Giglio, Federico; Langone, Leonardo; Lenaz, Renzo; Ori, Carlo; Selmo, Enricomaria</t>
  </si>
  <si>
    <t>Carbon dioxide measurements</t>
  </si>
  <si>
    <t>ATMOSPHERIC CO2 CONCENTRATIONS; SOUTHERN-OCEAN; ANTHROPOGENIC CARBON; AUSTRAL AUTUMN; SURFACE-LAYER; SEA; FLUX; TEMPERATURE; ANTARCTICA; DELTA-C-13</t>
  </si>
  <si>
    <t>Measurements of atmospheric CO2 concentrations were repeatedly carried out on the vessel 'Italica' of the Italian National Research Program in Antarctica, during cruises from Italy to Antarctica. Discrete air samples were also collected in 4-L Pyrex flasks during these cruises in order to carry out delta C-13 analyses on atmospheric CO2. The results acquired between New Zealand and Antarctica are reported here. The mean growth rate of the CO2 concentration from 1996 to 2003 in this area of the Southern Oceans is of about 1.8 ppmv yr(-1), in good agreement with NOAA/CMDL measurements. The rates of increase from cruise to cruise are rather variable. From 1996-1997 to 1998-1999 cruise the yearly growth rate is 2.75 ppmv yr(-1), close to the large growth rates measured in several areas and mainly related to the most severe El Nino event of the last years. The other yearly growth rates are of about 1.3 and 2 ppmv for the periods 1998-1999 to 2001-2002 and 2001-2002 to 2003-2004, respectively. The large difference between these two values is probably related to the uncertainty on the only two 2001-2002 discrete measurements of CO2 concentration in this area. The measured delta C-13 values show two completely different distributions and a large interannual variability. The 1998-1999, 2002-2003, and 2003-2004 results obtained between about 55 degrees S and 65 degrees S across the Antarctic Polar Front show a marked negativization of up to more than 2 parts per thousand when compared to the background values. The results are related to local source regions of CO2, as frequently found in the Southern Ocean by several authors; the negative delta C-13 values are tentatively related to the possible contribution of different causes. Among them, the southward negative gradient of delta C-13 of the dissolved inorganic carbon, the contribution from upwelling deep waters and from subsurface processes between the Northern SubAntarctic Front and the Polar Front, and, partly, the contribution of CO2 of biogenic origin, e.g. from heterotrophic activity. The 2001-2002 results are very homogeneous and almost constant, close to -8.5 parts per thousand, showing only minor deviations from the oceanic background values. This behaviour may be related to differences in the frontal structure along the 2001-2002 track.</t>
  </si>
  <si>
    <t>Univ Parma, Dept Earth Sci, I-43100 Parma, Italy; CNR, Inst Marine Sci, Marine Geol Sect, Area Ric, I-40129 Bologna, Italy</t>
  </si>
  <si>
    <t>University of Parma; Consiglio Nazionale delle Ricerche (CNR); Istituto di Scienze Marine (ISMAR-CNR)</t>
  </si>
  <si>
    <t>Longinelli, A (corresponding author), Univ Parma, Dept Earth Sci, Via G PUsberti 157A, I-43100 Parma, Italy.</t>
  </si>
  <si>
    <t>longi@unipr.it</t>
  </si>
  <si>
    <t>, leonardo.langone@ismar.cnr.it/D-8139-2011; CNR, Ismar/P-1247-2014</t>
  </si>
  <si>
    <t>CNR, Ismar/0000-0001-5351-1486</t>
  </si>
  <si>
    <t>10.1111/j.1600-0889.2006.00240.x</t>
  </si>
  <si>
    <t>WOS:000243681100011</t>
  </si>
  <si>
    <t>Brandt, A</t>
  </si>
  <si>
    <t>Brandt, Angelika</t>
  </si>
  <si>
    <t>Three new species of Fissarcturus (Isopoda, Antarcturidae) from the Southern Ocean</t>
  </si>
  <si>
    <t>ZOOLOGICAL JOURNAL OF THE LINNEAN SOCIETY</t>
  </si>
  <si>
    <t>deep sea; descriptions; taxonomy</t>
  </si>
  <si>
    <t>Fissarcturus bathyweddellensis sp. nov. and Fissarcturus sandwichi sp. nov. are described from the abyssal Southern Ocean near the Antarctic Peninsula and Fissarcturus rossi sp. nov. is described from the shallow Ross Sea. A list of all described species of Fissarcturus is given. The new species differ from recognized species of the genus in the following respects: F. bathyweddellensis can be distinguished based on spination on the dorsum of the body, which is described in detail herein. It is most similar to F. emarginatus Brandt, 1990, but this has, for example, a shorter and less stout second cephalic spine. F. rossi can also be distinguished from F. bathyweddellensis based on spine pattern. Whereas all dorsal spines of F. bathyweddellensis are smooth, those of F. rossi are covered with spinules. F. sandwichi can be distinguished from the other species of the genus by the strong frontally bent supraocular spines (females with second cephalic spines) and dorsal body surface, which is covered with flat, cauliflower-like elevations in submedial, lateral and coxal rows. (c) 2007 The Linnean Society of London.</t>
  </si>
  <si>
    <t>Zool Museum, D-20146 Hamburg, Germany</t>
  </si>
  <si>
    <t>Brandt, A (corresponding author), Zool Museum, Martin Luther King Pl 3, D-20146 Hamburg, Germany.</t>
  </si>
  <si>
    <t>0024-4082</t>
  </si>
  <si>
    <t>1096-3642</t>
  </si>
  <si>
    <t>ZOOL J LINN SOC-LOND</t>
  </si>
  <si>
    <t>Zool. J. Linn. Soc.</t>
  </si>
  <si>
    <t>10.1111/j.1096-3642.2007.00247.x</t>
  </si>
  <si>
    <t>130IK</t>
  </si>
  <si>
    <t>WOS:000243793100004</t>
  </si>
  <si>
    <t>Petryashov, VV</t>
  </si>
  <si>
    <t>Petryashov, V. V.</t>
  </si>
  <si>
    <t>Mysids (Crustacea, Mysidacea) of the Antarctic and Subantarctic from the collection of the Zoological Institute, Russian Academy of Sciences. Mysida: Leptomysini and Mysini tribes</t>
  </si>
  <si>
    <t>ZOOLOGICHESKY ZHURNAL</t>
  </si>
  <si>
    <t>Russian</t>
  </si>
  <si>
    <t>Sixteen species of mysids of the tribe Leptomysini and eight species of the tribe Mysini are known in the Antarctic and Subantarctic to the south of the subtropic convergence in the southern hemisphere. The collections of the Zoological Institute contain 180 samples of mysids of these tribes with 2124 specimens that were collected in these regions (25 expeditions) during 1956-2000. There are 5 species of Leptomysim tribe and 2 species of the tribe Mysini. The earlier described species Antarctomysis profunda Ledoyer 1990 was found to be a geographical subspecies of A. maxima. New data on the geographical and bathymetric distribution of these mysid species, as well as the first regional key for the identification of Leptomysim and Mysini species are presented. The variability of some morphological structures in the species of these tribes are discussed.</t>
  </si>
  <si>
    <t>Russian Acad Sci, Inst Zool, St Petersburg 199034, Russia</t>
  </si>
  <si>
    <t>Russian Academy of Sciences; Zoological Institute of the Russian Academy of Sciences</t>
  </si>
  <si>
    <t>Petryashov, VV (corresponding author), Russian Acad Sci, Inst Zool, St Petersburg 199034, Russia.</t>
  </si>
  <si>
    <t>MEZHDUNARODNAYA KNIGA</t>
  </si>
  <si>
    <t>39 DIMITROVA UL., 113095 MOSCOW, RUSSIA</t>
  </si>
  <si>
    <t>0044-5134</t>
  </si>
  <si>
    <t>ZOOL ZH</t>
  </si>
  <si>
    <t>Zool. Zhurnal</t>
  </si>
  <si>
    <t>147FZ</t>
  </si>
  <si>
    <t>WOS:000244990100006</t>
  </si>
  <si>
    <t>Lörz, AN; Maas, EW; Linse, K; Fenwick, GD</t>
  </si>
  <si>
    <t>Loerz, Anne-Nina; Maas, Elizabeth W.; Linse, Katrin; Fenwick, Graham D.</t>
  </si>
  <si>
    <t>Epimeria schiaparelli sp nov., an amphipod crustacean (family Epimeriidae) from the Ross Sea, Antarctica, with molecular characterisation of the species complex</t>
  </si>
  <si>
    <t>Antarctica; taxonomy; Amphipoda; Crustacea; Epimeriidae; Epimeria; Cytochrome oxidase I</t>
  </si>
  <si>
    <t>IPHIMEDIIDAE; PHYLOGENY</t>
  </si>
  <si>
    <t>Epimeria schiaparelli sp. nov. from the Ross Sea, Antarctica, is described in detail. The new species occurs on the shelf in 130-350 m depth. Epimeria schiaparelli can be distinguished from the most similar species, E. similis Chevreux, 1912 and E. macrodonta Walker, 1906 by a relatively short rostrum and a short second pereonite amongst other characters. Two distinct colour patterns are reported. Partial gene sequences of the mitochondrial cytochrome oxidase subunit I (COI) from 11 specimens of E. schiaparelli confirm that this species is new to science and closely related to E. similis, E. macrodonta and E. reoproi. The recent and historical separation of this Antarctic species is discussed. The syntypes of E. macrodonta consist of two species, so a lectotype is here designated.</t>
  </si>
  <si>
    <t>Natl Inst Water &amp; Atmospher Res, Kilbirnie Wellington, New Zealand; British Antarctic Survey, NERC, Cambridge CB3 0ET, England; Natl Inst Water &amp; Atmospher Res, Christchurch, New Zealand</t>
  </si>
  <si>
    <t>National Institute of Water &amp; Atmospheric Research (NIWA) - New Zealand; UK Research &amp; Innovation (UKRI); Natural Environment Research Council (NERC); NERC British Antarctic Survey; National Institute of Water &amp; Atmospheric Research (NIWA) - New Zealand</t>
  </si>
  <si>
    <t>Lörz, AN (corresponding author), Natl Inst Water &amp; Atmospher Res, Private Bag 14901, Kilbirnie Wellington, New Zealand.</t>
  </si>
  <si>
    <t>a.loerz@niwa.co.nz</t>
  </si>
  <si>
    <t>Fenwick, Graham D/A-8598-2016</t>
  </si>
  <si>
    <t>132DS</t>
  </si>
  <si>
    <t>WOS:000243923000002</t>
  </si>
  <si>
    <t>Hunter, RL</t>
  </si>
  <si>
    <t>Hunter, Rebecca L.</t>
  </si>
  <si>
    <t>Morphological cladistic analysis of Ophiurolepis Matsumoto, 1915 (Ophiurida: Ophiuridae) from the Southern Ocean</t>
  </si>
  <si>
    <t>Antarctica; cladistics; Homalophiura; morphology; ophiuroid; Ophiurolepis; Southern Ocean; Theodoria</t>
  </si>
  <si>
    <t>ANTARCTIC-PENINSULA; NOTOTHENIOIDS; ECHINODERMS; PHYLOGENY; DISPERSAL; BIVALVIA</t>
  </si>
  <si>
    <t>A phylogenetic analysis using morphological characters was done on the Antarctic ophiuroid genus Ophiurolepis Matsumoto, 1915. This genus is one of the more abundant and ecologically dominant ophiuroid genera in the Antarctic and surrounding Southern Ocean. Maximum parsimony was used to infer phylogenetic relationships. Although strongly supported nodes were not recovered for most groupings within Ophiurolepis, this first attempt at a phylogeny revealed the presence of three tentative clades. Two of the three Ophiurolepis clades included species currently assigned to other genera, but closely allied with Ophiurolepis in the taxonomic literature. This indicates that Ophiurolepis as currently defined is not a monophyletic group. Additional forms of data, namely molecular, are needed to more definitively resolve relationships within this group.</t>
  </si>
  <si>
    <t>Auburn Univ, Dept Biol Sci, Auburn, AL 36849 USA</t>
  </si>
  <si>
    <t>Auburn University System; Auburn University</t>
  </si>
  <si>
    <t>Hunter, RL (corresponding author), Auburn Univ, Dept Biol Sci, Auburn, AL 36849 USA.</t>
  </si>
  <si>
    <t>belchrl@auburn.edu</t>
  </si>
  <si>
    <t>132DP</t>
  </si>
  <si>
    <t>WOS:000243922700002</t>
  </si>
  <si>
    <t>Peck, VL; Hall, IR; Zahn, R; Scourse, JD</t>
  </si>
  <si>
    <t>Peck, V. L.; Hall, I. R.; Zahn, R.; Scourse, J. D.</t>
  </si>
  <si>
    <t>Progressive reduction in NE Atlantic intermediate water ventilation prior to Heinrich events: Response to NW European ice sheet instabilities?</t>
  </si>
  <si>
    <t>Atlantic thermohaline circulation; benthic carbon isotopes; Heinrich events; meltwater forcing; biogeosciences : permafrost, cryosphere, and high-latitude processes; global change : abrupt/rapid climate change; atmospheric processes : ocean/atmosphere interactions</t>
  </si>
  <si>
    <t>MERIDIONAL OVERTURNING CIRCULATION; GLACIAL NORTH-ATLANTIC; DEEP-WATER; LAST DEGLACIATION; SEA-LEVEL; OCEAN CIRCULATION; COUPLED CLIMATE; RAFTED DETRITUS; CORAL TERRACES; RAPID CHANGES</t>
  </si>
  <si>
    <t>[ 1] We present high-resolution benthic delta C-13 records from intermediate water depth core site MD01-2461 ( 1153 m water depth), from the Porcupine Seabight, NE Atlantic, spanning 43 to 8 kyr B. P. At an average proxy time step of 160 +/- 56 years this core provides information on the linkage between records from the Portuguese Margin and high-latitude North Atlantic basin, allowing additional insights into North Atlantic thermohaline circulation (THC) variability during millennial-scale climatic events of the last glacial. Together, these records document both discrete and progressive reductions in Glacial North Atlantic Intermediate Water (GNAIW) formation preceding Heinrich ( H) events 1, 2, and 4, recorded through the apparent interchange of glacial northern and southern-sourced intermediate water signatures along the European Margin. Close coupling of NW European ice sheet (NWEIS) instability and GNAIW formation is observed through transient advances of SCW along the European margin concurrent with pulses of ice-rafted debris and meltwater release into the NE Atlantic between 27 and 16 kyr B. P., when the NWEIS was at maximum extent and proximal to Last Glacial Maximum convection zones in the open North Atlantic. It is such NWEIS instability and meltwater forcing that may have triggered reduced North Atlantic THC prior to collapse of the Laurentide ice sheet at H1 and H2. Precursory reduction in GNAIW formation prior to H4 may also be inferred. However, limited NWEIS ice volume prior to H4 and convection occurring in the Norwegian-Greenland Sea require that if a meltwater trigger is invoked, as appears to be the case at H1 and H2, the source of meltwater prior to H4 is elsewhere, likely higher-latitude ice sheets. Clarification of the sequencing and likely mechanisms of precursory decrease of the North Atlantic THC support theories of H event initiation relating to ice shelf growth during cold periods associated with reduced North Atlantic THC and subsequent ablation through subsurface warming and sea level rise associated with further reductions in meridional overturning.</t>
  </si>
  <si>
    <t>Cardiff Univ, Sch Earth Ocean &amp; Planetary Sci, Cardiff CF10 3YE, Wales; ICREA, E-08193 Barcelona, Spain; Univ Autonoma Barcelona, E-08193 Barcelona, Spain; Univ Wales Bangor, Sch Ocean Sci, Anglesey LL59 5AB, Wales</t>
  </si>
  <si>
    <t>Cardiff University; ICREA; Autonomous University of Barcelona; Bangor University</t>
  </si>
  <si>
    <t>Peck, VL (corresponding author), British Antarctic Survey, High Cross,Madingley Rd, Cambridge CB3 0ET, England.</t>
  </si>
  <si>
    <t>Hall, Ian/0000-0001-6960-1419</t>
  </si>
  <si>
    <t>JAN 31</t>
  </si>
  <si>
    <t>Q01N10</t>
  </si>
  <si>
    <t>10.1029/2006GC001321</t>
  </si>
  <si>
    <t>133UZ</t>
  </si>
  <si>
    <t>WOS:000244040700001</t>
  </si>
  <si>
    <t>Rapley, C</t>
  </si>
  <si>
    <t>Rapley, Chris</t>
  </si>
  <si>
    <t>Antarctic ecology: From molecules to ecosystems. Part 1</t>
  </si>
  <si>
    <t>PHILOSOPHICAL TRANSACTIONS OF THE ROYAL SOCIETY B-BIOLOGICAL SCIENCES</t>
  </si>
  <si>
    <t>Rapley, C (corresponding author), British Antarctic Survey, NERC, Madingley Rd,High Cross, Cambridge CB3 0ET, England.</t>
  </si>
  <si>
    <t>c.rapley@bas.ac.uk</t>
  </si>
  <si>
    <t>0962-8436</t>
  </si>
  <si>
    <t>PHILOS T R SOC B</t>
  </si>
  <si>
    <t>Philos. Trans. R. Soc. B-Biol. Sci.</t>
  </si>
  <si>
    <t>JAN 29</t>
  </si>
  <si>
    <t>10.1098/rstb.2006.1959</t>
  </si>
  <si>
    <t>126PZ</t>
  </si>
  <si>
    <t>WOS:000243528200001</t>
  </si>
  <si>
    <t>Clarke, A; Johnston, NM; Murphy, EJ; Rogers, AD</t>
  </si>
  <si>
    <t>Clarke, Andrew; Johnston, Nadine M.; Murphy, Eugene J.; Rogers, Alex D.</t>
  </si>
  <si>
    <t>Introduction. Antarctic ecology from genes to ecosystems: the impact of climate change and the importance of scale</t>
  </si>
  <si>
    <t>glaciation; oceanography; extinction; speciation; extremophile</t>
  </si>
  <si>
    <t>SOUTHERN-OCEAN; ICE SHELF; PENINSULA; DEEP; VARIABILITY; DISPERSAL; HOLOCENE; TRENDS</t>
  </si>
  <si>
    <t>Antarctica offers a unique natural laboratory for undertaking fundamental research on the relationship between climate, evolutionary processes and molecular adaptation. The fragmentation of Gondwana and the development of wide-scale glaciation have resulted in major episodes of extinction and vicariance, as well as driving adaptation to an extreme environment. On shorter time-scales, glacial cycles have resulted in shifts in distribution, range fragmentation and allopatric speciation, and the Antarctic Peninsula is currently experiencing among the most rapid climatic warming on the planet. The recent revolution in molecular techniques has provided a suite of innovative and powerful tools to explore the consequences of these changes, and these are now providing novel insights into evolutionary and ecological processes in Antarctica. In addition, the increasing use of remotely sensed data is providing a large-scale view of the system that allows these processes to be set in a wider spatial context. In these two volumes, we collect a wide range of papers exploring these themes, concentrating on recent advances and emphasizing the importance of spatial and temporal scale in understanding ecological and evolutionary processes in Antarctica.</t>
  </si>
  <si>
    <t>British Antarctic Survey, NERC, Cambridge CB3 0ET, England; Zool Soc London, Inst Zool, London NW1 4RY, England</t>
  </si>
  <si>
    <t>UK Research &amp; Innovation (UKRI); Natural Environment Research Council (NERC); NERC British Antarctic Survey; Zoological Society of London</t>
  </si>
  <si>
    <t>Clarke, A (corresponding author), British Antarctic Survey, NERC, High Cross,Madingley Rd, Cambridge CB3 0ET, England.</t>
  </si>
  <si>
    <t>accl@bas.ac.uk</t>
  </si>
  <si>
    <t>Rogers, Alex David/0000-0002-4864-2980; Johnston, Nadine M/0000-0003-2211-1492</t>
  </si>
  <si>
    <t>Natural Environment Research Council [bas010017, NE/C506321/1] Funding Source: researchfish; NERC [bas010017] Funding Source: UKRI</t>
  </si>
  <si>
    <t>1471-2970</t>
  </si>
  <si>
    <t>10.1098/rstb.2006.1943</t>
  </si>
  <si>
    <t>WOS:000243528200002</t>
  </si>
  <si>
    <t>Barnes, DKA; Conlan, KE</t>
  </si>
  <si>
    <t>Barnes, David K. A.; Conlan, Kathleen E.</t>
  </si>
  <si>
    <t>Disturbance, colonization and development of Antarctic benthic communities</t>
  </si>
  <si>
    <t>ice scour; zoobenthos; pioneers; pollution; trawling; climate change</t>
  </si>
  <si>
    <t>KING GEORGE ISLAND; BIVALVE YOLDIA-EIGHTSI; SOFT-BOTTOM MACROFAUNA; MCMURDO-SOUND; WEDDELL SEA; SOUTHERN-OCEAN; CLIMATE-CHANGE; ADMIRALTY BAY; SIGNY-ISLAND; ROSS SEA</t>
  </si>
  <si>
    <t>A decade has yielded much progress in understanding polar disturbance and community recovery-mainly through quantifying ice scour rates, other disturbance levels, larval abundance and diversity, colonization rates and response of benthos to predicted climate change. The continental shelf around Antarctica is clearly subject to massive disturbance, but remarkably across so many scales. In summer, millions of icebergs from sizes smaller than cars to larger than countries ground out and gouge the sea floor and crush the benthic communities there, while the highest wind speeds create the highest waves to pound the coast. In winter, the calm associated with the sea surface freezing creates the clearest marine water in the world. But in winter, an ice foot encases coastal life and anchor ice rips benthos from the sea floor. Over tens and hundreds of thousands of years, glaciations have done the same on continental scales-ice sheets have bulldozed the seabed and the zoobenthos to edge of shelves. We detail and rank modern disturbance levels (from most to least): ice; asteroid impacts; sediment instability; wind/wave action; pollution; UV irradiation; volcanism; trawling; non-indigenous species; freshwater inundation; and temperature stress. Benthic organisms have had to recolonize local scourings and continental shelves repeatedly, yet a decade of studies have demonstrated that they have (compared with lower latitudes) slow tempos of reproduction, colonization and growth. Despite massive disturbance levels and slow recolonization potential, the Antarctic shelf has a much richer fauna than would be expected for its area. Now, West Antarctica is among the fastest warming regions and its organisms face new rapid changes. In the next century, temperature stress and non-indigenous species will drastically rise to become dominant disturbances to the Antarctic life. Here, we describe the potential for benthic organisms to respond to disturbance, focusing particularly on what we know now that we did not a decade ago.</t>
  </si>
  <si>
    <t>British Antarctic Survey, NERC, Cambridge CB3 0ET, England; Canadian Museum Nat, Ottawa, ON K1P 6P4, Canada</t>
  </si>
  <si>
    <t>Barnes, DKA (corresponding author), British Antarctic Survey, NERC, High Cross,Madingley Rd, Cambridge CB3 0ET, England.</t>
  </si>
  <si>
    <t>10.1098/rstb.2006.1951</t>
  </si>
  <si>
    <t>WOS:000243528200003</t>
  </si>
  <si>
    <t>Brandt, A; De Broyer, C; De Mesel, I; Ellingsen, KE; Gooday, AJ; Hilbig, B; Linse, K; Thomson, MRA; Tyler, PA</t>
  </si>
  <si>
    <t>Brandt, A.; De Broyer, C.; De Mesel, I.; Ellingsen, K. E.; Gooday, A. J.; Hilbig, B.; Linse, K.; Thomson, M. R. A.; Tyler, P. A.</t>
  </si>
  <si>
    <t>The biodiversity of the deep Southern Ocean benthos</t>
  </si>
  <si>
    <t>Southern Ocean; biodiversity; benthos; geological history; evolution</t>
  </si>
  <si>
    <t>PORCUPINE ABYSSAL-PLAIN; EASTERN WEDDELL SEA; SCOTIA SEA; ALLOGROMIID FORAMINIFERA; MEIOFAUNA COMMUNITIES; ISOPODA CRUSTACEA; BRANSFIELD STRAIT; SPECIES-DIVERSITY; MONOTHALAMOUS FORAMINIFERAN; VERTICAL-DISTRIBUTION</t>
  </si>
  <si>
    <t>Our knowledge of the biodiversity of the Southern Ocean (SO) deep benthos is scarce. In this review, we describe the general biodiversity patterns of meio-, macro- and megafaunal taxa, based on historical and recent expeditions, and against the background of the geological events and phylogenetic relationships that have influenced the biodiversity and evolution of the investigated taxa. The relationship of the fauna to environmental parameters, such as water depth, sediment type, food availability and carbonate solubility, as well as species interrelationships, probably have shaped present-day biodiversity patterns as much as evolution. However, different taxa exhibit different large-scale biodiversity and biogeographic patterns. Moreover, there is rarely any clear relationship of biodiversity pattern with depth, latitude or environmental parameters, such as sediment composition or grain size. Similarities and differences between the SO biodiversity and biodiversity of global oceans are outlined. The high percentage (often more than 90%) of new species in almost all taxa, as well as the high degree of endemism of many groups, may reflect undersampling of the area, and it is likely to decrease as more information is gathered about SO deep-sea biodiversity by future expeditions. Indeed, among certain taxa such as the Foraminifera, close links at the species level are already apparent between deep Weddell Sea faunas and those from similar depths in the North Atlantic and Arctic. With regard to the vertical zonation from the shelf edge into deep water, biodiversity patterns among some taxa in the SO might differ from those in other deep-sea areas, due to the deep Antarctic shelf and the evolution of eurybathy in many species, as well as to deep-water production that can fuel the SO deep sea with freshly produced organic matter derived not only from phytoplankton, but also from ice algae.</t>
  </si>
  <si>
    <t>Inst Zool, D-20146 Hamburg, Germany; Zool Museum, D-20146 Hamburg, Germany; Inst Royal Sci Nat Belgique, B-1000 Brussels, Belgium; Univ Ghent, Marine Biol Sect, B-9000 Ghent, Belgium; Univ Oslo, Dept Biol, N-0316 Oslo, Norway; Univ Southampton, Natl Oceanog Ctr, Southampton SO14 3ZH, Hants, England; Ruhr Univ Bochum, Forsch Inst Senckenberg DZMB, CeDAMar, Dept Zool, D-44780 Bochum, Germany; British Antarctic Survey, NERC, Cambridge CB3 0ET, England; Univ Leeds, Ctr Polar Sci, Sch Earth Sci, Leeds LS2 9JT, W Yorkshire, England</t>
  </si>
  <si>
    <t>Ghent University; University of Oslo; University of Southampton; NERC National Oceanography Centre; Ruhr University Bochum; UK Research &amp; Innovation (UKRI); Natural Environment Research Council (NERC); NERC British Antarctic Survey; University of Leeds</t>
  </si>
  <si>
    <t>Brandt, A (corresponding author), Inst Zool, Martin Luther King Pl 3, D-20146 Hamburg, Germany.</t>
  </si>
  <si>
    <t>Gooday, Andrew/AAH-8991-2021; Gooday, Andrew/ABB-4267-2020; Brandt, Angelika/C-1630-2018</t>
  </si>
  <si>
    <t>Gooday, Andrew/0000-0002-5661-7371; Linse, Katrin/0000-0003-3477-3047; Ellingsen, Kari Elsa/0000-0002-2321-8278</t>
  </si>
  <si>
    <t>10.1098/rstb.2006.1952</t>
  </si>
  <si>
    <t>WOS:000243528200004</t>
  </si>
  <si>
    <t>Ducklow, HW; Baker, K; Martinson, DG; Quetin, LB; Ross, RM; Smith, RC; Stammerjohn, SE; Vernet, M; Fraser, W</t>
  </si>
  <si>
    <t>Ducklow, Hugh W.; Baker, Karen; Martinson, Douglas G.; Quetin, Langdon B.; Ross, Robin M.; Smith, Raymond C.; Stammerjohn, Sharon E.; Vernet, Maria; Fraser, William</t>
  </si>
  <si>
    <t>Marine pelagic ecosystems: The West Antarctic Peninsula</t>
  </si>
  <si>
    <t>Palmer Station; LTER; climate change; Adelie penguin; Antarctic krill; Antarctic circumpolar current</t>
  </si>
  <si>
    <t>KRILL EUPHAUSIA-SUPERBA; SEA-ICE EXTENT; SOUTHERN-OCEAN CLIMATE; CRAB-EATER SEALS; ROSS SEA; BRANSFIELD STRAIT; SCOTIA SEA; AUSTRAL SUMMER; WATERS WEST; PHYTOPLANKTON ASSEMBLAGES</t>
  </si>
  <si>
    <t>The marine ecosystem of the West Antarctic Peninsula (WAP) extends from the Bellingshausen Sea to the northern tip of the peninsula and from the mostly glaciated coast across the continental shelf to the shelf break in the west. The glacially sculpted coastline along the peninsula is highly convoluted and characterized by deep embayments that are often interconnected by channels that facilitate transport of heat and nutrients into the shelf domain. The ecosystem is divided into three subregions, the continental slope, shelf and coastal regions, each with unique ocean dynamics, water mass and biological distributions. The WAP shelf lies within the Antarctic Sea Ice Zone (SIZ) and like other SIZs, the WAP system is very productive, supporting large stocks of marine mammals, birds and the Antarctic krill, Euphausia superba. Ecosystem dynamics is dominated by the seasonal and interannual variation in sea ice extent and retreat. The Antarctic Peninsula is one among the most rapidly warming regions on Earth, having experienced a 2 degrees C increase in the annual mean temperature and a 6 degrees C rise in the mean winter temperature since 1950. Delivery of heat from the Antarctic Circumpolar Current has increased significantly in the past decade, sufficient to drive to a 0.6 degrees C warming of the upper 300 m of shelf water. In the past 50 years and continuing in the twenty-first century, the warm, moist maritime climate of the northern WAP has been migrating south, displacing the once dominant cold, dry continental Antarctic climate and causing multi-level responses in the marine ecosystem. Ecosystem responses to the regional warming include increased heat transport, decreased sea ice extent and duration, local declines in ice-dependent Adelie penguins, increase in ice-tolerant gentoo and chinstrap penguins, alterations in phytoplankton and zooplankton community composition and changes in krill recruitment, abundance and availability to predators. The climate/ecological gradients extending along the WAP and the presence of monitoring systems, field stations and long-term research programmes make the region an invaluable observatory of climate change and marine ecosystem response.</t>
  </si>
  <si>
    <t>Coll William &amp; Mary, Sch Marine Sci, Gloucester Point, VA 23062 USA; Univ Calif San Diego, Scripps Inst Oceanog, La Jolla, CA 92093 USA; Lamont Doherty Earth Observ, Palisades, NY 10964 USA; Univ Calif Santa Barbara, Inst Marine Sci, Santa Barbara, CA 93106 USA; Univ Calif Santa Barbara, ICESS, Santa Barbara, CA 93106 USA; Polar Oceans Res Grp, Sheridan, MT 59749 USA</t>
  </si>
  <si>
    <t>William &amp; Mary; University of California System; University of California San Diego; Scripps Institution of Oceanography; Columbia University; University of California System; University of California Santa Barbara; University of California System; University of California Santa Barbara</t>
  </si>
  <si>
    <t>Ducklow, HW (corresponding author), Coll William &amp; Mary, Sch Marine Sci, Gloucester Point, VA 23062 USA.</t>
  </si>
  <si>
    <t>duck@vims.edu</t>
  </si>
  <si>
    <t>STAMMERJOHN, SHARON/0000-0002-1697-8244</t>
  </si>
  <si>
    <t>10.1098/rstb.2006.1955</t>
  </si>
  <si>
    <t>WOS:000243528200005</t>
  </si>
  <si>
    <t>Smith, WO; Ainley, DG; Cattaneo-Vietti, R</t>
  </si>
  <si>
    <t>Smith, Walker O., Jr.; Ainley, David G.; Cattaneo-Vietti, Riccardo</t>
  </si>
  <si>
    <t>Trophic interactions within the Ross Sea continental shelf ecosystem</t>
  </si>
  <si>
    <t>Ross Sea; neritic food web; bio-physical coupling; ecosystem function; ecosystem structure; pelagic-benthic coupling</t>
  </si>
  <si>
    <t>TERRA-NOVA BAY; SCALLOP ADAMUSSIUM-COLBECKI; MARINE BENTHIC COMMUNITIES; MCMURDO SOUND; PHAEOCYSTIS-ANTARCTICA; SOUTHERN-OCEAN; PARTICULATE MATTER; EUPHAUSIA-SUPERBA; VICTORIA-LAND; SEASONAL VARIABILITY</t>
  </si>
  <si>
    <t>The continental shelf of the Ross Sea is one of the Antarctic's most intensively studied regions. We review the available data on the region's physical characteristics (currents and ice concentrations) and their spatial variations, as well as components of the neritic food web, including lower and middle levels (phytoplankton, zooplankton, krill, fishes), the upper trophic levels (seals, penguins, pelagic birds, whales) and benthic fauna. A hypothetical food web is presented. Biotic interactions, such as the role of Euphausia crystallorophias and Pleuragramma antarcticum as grazers of lower levels and food for higher trophic levels, are suggested as being critical. The neritic food web contrasts dramatically with others in the Antarctic that appear to be structured around the keystone species Euphausia superba. Similarly, we suggest that benthic-pelagic coupling is stronger in the Ross Sea than in most other Antarctic regions. We also highlight many of the unknowns within the food web, and discuss the impacts of a changing Ross Sea habitat on the ecosystem.</t>
  </si>
  <si>
    <t>Coll William &amp; Mary, Virginia Inst Marine Sci, Gloucester Point, VA 23062 USA; HT Harvey &amp; Associates, San Jose, CA 95118 USA; Univ Genoa, Dipartimento Studio Terr &amp; Risorse, I-16132 Genoa, Italy</t>
  </si>
  <si>
    <t>William &amp; Mary; Virginia Institute of Marine Science; University of Genoa</t>
  </si>
  <si>
    <t>10.1098/rstb.2006.1956</t>
  </si>
  <si>
    <t>WOS:000243528200006</t>
  </si>
  <si>
    <t>Murphy, EJ; Watkins, JL; Trathan, PN; Reid, K; Meredith, MP; Thorpe, SE; Johnston, NM; Clarke, A; Tarling, GA; Collins, MA; Forcada, J; Shreeve, RS; Atkinson, A; Korb, R; Whitehouse, MJ; Ward, P; Rodhouse, PG; Enderlein, P; Hirst, AG; Martin, AR; Hill, SL; Staniland, IJ; Pond, DW; Briggs, DR; Cunningham, NJ; Fleming, AH</t>
  </si>
  <si>
    <t>Murphy, E. J.; Watkins, J. L.; Trathan, P. N.; Reid, K.; Meredith, M. P.; Thorpe, S. E.; Johnston, N. M.; Clarke, A.; Tarling, G. A.; Collins, M. A.; Forcada, J.; Shreeve, R. S.; Atkinson, A.; Korb, R.; Whitehouse, M. J.; Ward, P.; Rodhouse, P. G.; Enderlein, P.; Hirst, A. G.; Martin, A. R.; Hill, S. L.; Staniland, I. J.; Pond, D. W.; Briggs, D. R.; Cunningham, N. J.; Fleming, A. H.</t>
  </si>
  <si>
    <t>Spatial and temporal operation of the Scotia Sea ecosystem: a review of large-scale links in a krill centred food web</t>
  </si>
  <si>
    <t>Scotia Sea; ecosystem; advection; Antarctic krill; heterogeneity; interannual variability</t>
  </si>
  <si>
    <t>ANTARCTIC FUR SEALS; MARGINAL ICE-ZONE; NORTHWESTERN WEDDELL SEA; CALANOIDES-ACUTUS COPEPODA; CIRCUMPOLAR CURRENT FRONT; MESOZOOPLANKTON COMMUNITY STRUCTURE; ICEFISH CHAMPSOCEPHALUS-GUNNARI; SOUTH GEORGIA REGION; NATURAL GROWTH-RATES; EUPHAUSIA-SUPERBA</t>
  </si>
  <si>
    <t>The Scotia Sea ecosystem is a major component of the circumpolar Southern Ocean system, where productivity and predator demand for prey are high. The eastward-flowing Antarctic Circumpolar Current (ACC) and waters from the Weddell-Scotia Confluence dominate the physics of the Scotia Sea, leading to a strong advective flow, intense eddy activity and mixing. There is also strong seasonality, manifest by the changing irradiance and sea ice cover, which leads to shorter summers in the south. Summer phytoplankton blooms, which at times can cover an area of more than 0.5 million km(2), probably result from the mixing of micronutrients into surface waters through the flow of the ACC over the Scotia Arc. This production is consumed by a range of species including Antarctic krill, which are the major prey item of large seabird and marine mammal populations. The flow of the ACC is steered north by the Scotia Arc, pushing polar water to lower latitudes, carrying with it krill during spring and summer, which subsidize food webs around South Georgia and the northern Scotia Arc. There is also marked interannual variability in winter sea ice distribution and sea surface temperatures that is linked to southern hemisphere-scale climate processes such as the El Nino-Southern Oscillation. This variation affects regional primary and secondary production and influences biogeochemical cycles. It also affects krill population dynamics and dispersal, which in turn impacts higher trophic level predator foraging, breeding performance and population dynamics. The ecosystem has also been highly perturbed as a result of harvesting over the last two centuries and significant ecological changes have also occurred in response to rapid regional warming during the second half of the twentieth century. This combination of historical perturbation and rapid regional change highlights that the Scotia Sea ecosystem is likely to show significant change over the next two to three decades, which may result in major ecological shifts.</t>
  </si>
  <si>
    <t>Murphy, EJ (corresponding author), British Antarctic Survey, NERC, High Cross,Madingley Rd, Cambridge CB3 0ET, England.</t>
  </si>
  <si>
    <t>e.murphy@bas.ac.uk</t>
  </si>
  <si>
    <t>Atkinson, Angus/HOH-3417-2023; murphy, eugene/GZL-1620-2022; Forcada, Jaume/GYU-0677-2022; Staniland, Iain/I-4725-2012; Cunningham, Nathan J/B-9591-2008; Simeon, Hill L/B-2307-2008; , Martin/ABE-6728-2020; Collins, Martin A/J-8560-2017; Hirst, Andrew G/A-6296-2013</t>
  </si>
  <si>
    <t>Staniland, Iain/0000-0003-2736-9134; , Martin/0000-0001-7132-8650; Meredith, Michael/0000-0002-7342-7756; Hirst, Andrew/0000-0001-9132-1886; Cunningham, Nathan/0000-0003-4941-504X; Thorpe, Sally/0000-0002-5193-6955; Johnston, Nadine M/0000-0003-2211-1492</t>
  </si>
  <si>
    <t>10.1098/rstb.2006.1957</t>
  </si>
  <si>
    <t>WOS:000243528200007</t>
  </si>
  <si>
    <t>Clarke, A; Murphy, EJ; Meredith, MP; King, JC; Peck, LS; Barnes, DKA; Smith, RC</t>
  </si>
  <si>
    <t>Clarke, Andrew; Murphy, Eugene J.; Meredith, Michael P.; King, John C.; Peck, Lloyd S.; Barnes, David K. A.; Smith, Raymond C.</t>
  </si>
  <si>
    <t>Climate change and the marine ecosystem of the western Antarctic Peninsula</t>
  </si>
  <si>
    <t>food web; ice; krill; oceanography; physiology; temperature</t>
  </si>
  <si>
    <t>SEA-ICE EXTENT; SOUTHERN-OCEAN CLIMATE; EUPHAUSIA-SUPERBA; BENTHIC FAUNA; WEDDELL SEA; FOOD-WEB; ROSS SEA; INTERANNUAL VARIABILITY; SURFACE-TEMPERATURE; CONTINENTAL-SHELF</t>
  </si>
  <si>
    <t>The Antarctic Peninsula is experiencing one of the fastest rates of regional climate change on Earth, resulting in the collapse of ice shelves, the retreat of glaciers and the exposure of new terrestrial habitat. In the nearby oceanic system, winter sea ice in the Bellingshausen and Amundsen seas has decreased in extent by 10% per decade, and shortened in seasonal duration. Surface waters have warmed by more than 1 K since the 1950s, and the Circumpolar Deep Water (CDW) of the Antarctic Circumpolar Current has also warmed. Of the changes observed in the marine ecosystem of the western Antarctic Peninsula (WAP) region to date, alterations in winter sea ice dynamics are the most likely to have had a direct impact on the marine fauna, principally through shifts in the extent and timing of habitat for ice-associated biota. Warming of seawater at depths below ca 100 m has yet to reach the levels that are biologically significant. Continued warming, or a change in the frequency of the flooding of CDW onto the WAP continental shelf may, however, induce sublethal effects that influence ecological interactions and hence food-web operation. The best evidence for recent changes in the ecosystem may come from organisms which record aspects of their population dynamics in their skeleton (such as molluscs or brachiopods) or where ecological interactions are preserved (such as in encrusting biota of hard substrata). In addition, a southwards shift of marine isotherms may induce a parallel migration of some taxa similar to that observed on land. The complexity of the Southern Ocean food web and the nonlinear nature of many interactions mean that predictions based on short-term studies of a small number of species are likely to be misleading.</t>
  </si>
  <si>
    <t>British Antarctic Survey, NERC, Cambridge CB3 0ET, England; Univ Calif Santa Barbara, Inst Computat Earth Syst Sci, Santa Barbara, CA 93106 USA</t>
  </si>
  <si>
    <t>UK Research &amp; Innovation (UKRI); Natural Environment Research Council (NERC); NERC British Antarctic Survey; University of California System; University of California Santa Barbara</t>
  </si>
  <si>
    <t>Meredith, Michael/0000-0002-7342-7756</t>
  </si>
  <si>
    <t>10.1098/rstb.2006.1958</t>
  </si>
  <si>
    <t>WOS:000243528200008</t>
  </si>
  <si>
    <t>Young, EF; Holt, JT</t>
  </si>
  <si>
    <t>Young, E. F.; Holt, J. T.</t>
  </si>
  <si>
    <t>Prediction and analysis of long-term variability of temperature and salinity in the Irish Sea</t>
  </si>
  <si>
    <t>EUROPEAN CONTINENTAL-SHELF; DENSITY EVOLVING MODEL; NORTH CHANNEL; CURVILINEAR MODEL; FLOW-THROUGH; ADVECTION; DYNAMICS; CURRENTS; SYSTEM; TC-99</t>
  </si>
  <si>
    <t>[1] The variability of temperature and salinity in the Irish Sea over the 40 year period 1960 - 1999 is investigated using a free-running fine-resolution local area model. The skill of the model to represent observed temperature and salinity variability is assessed using conductivity-temperature-depth survey data ( 3397 profiles) and a long time series of measurements from Cypris station ( southwest of Isle of Man). This clearly demonstrates that the model can reproduce the observed seasonal and longer-term cycles in temperature, with mean and RMS errors of - 0.01 degrees C and 0.78 degrees C. Particularly apparent is the long-term warming trend at Cypris station and throughout the model domain. Model estimates of salinity are less accurate and are generally too saline ( mean and RMS errors are 0.79 and 0.98 practical salinity units). Inaccuracies are likely to arise from boundary conditions and forcing (riverine and surface). However, while absolute values are not particularly well represented, the model reproduces many of the trends in the salinity variability observed at Cypris station, suggesting that the dominant physical processes in the Irish Sea, with timescales up to similar to 3 years, are well represented. The model is also used to investigate the variability in temperature stratification. While stratification is confined to approximately the same geographical area in each year of the simulation, there is significant variability in the timing of the onset and breakdown of stratification and in the peak surface to bed temperature difference. Together, these results suggest that a local area model with limited boundary conditions may be sufficiently accurate for climatic investigation of some ( locally forced) parameters.</t>
  </si>
  <si>
    <t>British Antarctic Survey, Cambridge CB3 0ET, England; Proudman Oceanog Lab, Liverpool L3 5DA, Merseyside, England</t>
  </si>
  <si>
    <t>UK Research &amp; Innovation (UKRI); Natural Environment Research Council (NERC); NERC British Antarctic Survey; NERC National Oceanography Centre</t>
  </si>
  <si>
    <t>Young, EF (corresponding author), British Antarctic Survey, Madingley Rd, Cambridge CB3 0ET, England.</t>
  </si>
  <si>
    <t>jholt@pol.ac.uk</t>
  </si>
  <si>
    <t>; Holt, Jason/B-6323-2012</t>
  </si>
  <si>
    <t>Young, Emma/0000-0002-7069-6109; Holt, Jason/0000-0002-3298-8477</t>
  </si>
  <si>
    <t>Natural Environment Research Council [pol010007] Funding Source: researchfish; NERC [pol010007] Funding Source: UKRI</t>
  </si>
  <si>
    <t>JAN 25</t>
  </si>
  <si>
    <t>C1</t>
  </si>
  <si>
    <t>C01008</t>
  </si>
  <si>
    <t>10.1029/2005JC003386</t>
  </si>
  <si>
    <t>131NS</t>
  </si>
  <si>
    <t>WOS:000243876700001</t>
  </si>
  <si>
    <t>Parrondo, MC; Yela, M; Gil, M; von der Gathen, P; Ochoa, H</t>
  </si>
  <si>
    <t>Parrondo, M. C.; Yela, M.; Gil, M.; von der Gathen, P.; Ochoa, H.</t>
  </si>
  <si>
    <t>Mid-winter lower stratosphere temperatures in the Antarctic vortex: comparison between observations and ECMWF and NCEP operational models</t>
  </si>
  <si>
    <t>ATMOSPHERIC CHEMISTRY AND PHYSICS</t>
  </si>
  <si>
    <t>METEOROLOGICAL ANALYSES; OZONE DEPLETION; ARCTIC WINTER; POLAR VORTEX; TRENDS; REANALYSIS; LOSSES; NAT</t>
  </si>
  <si>
    <t>Radiosonde temperature profiles from Belgrano (78 degrees S) and other Antarctic stations have been compared with European Centre for Medium-Range Weather Forecasting (ECMWF) and National Centers for Environmental Prediction (NCEP) operational analyses during the winter of 2003. Results show good agreement between radiosondes and NCEP and a bias in the ECMWF model which is height and temperature dependent, being up to 3 degrees C too cold at 80 and 25 - 30 hPa, and hence resulting in an overestimation of the predicted potential PSC areas. Here we show the results of the comparison and discuss the potential implications that this bias might have on the ozone depletion computed by Chemical Transport Models based on ECMWF temperature fields, after rejecting the possibility of a bias in the sondes at extreme low temperatures.</t>
  </si>
  <si>
    <t>Inst Nacl Tecn Aeroespacial, Torrejon De Ardoz, Spain; Alfred Wegener Inst Polar &amp; Marine Res, Res Unit, Potsdam, Germany; Direcc NAcl Antart, Buenos Aires, DF, Argentina</t>
  </si>
  <si>
    <t>Parrondo, MC (corresponding author), Inst Nacl Tecn Aeroespacial, Torrejon De Ardoz, Spain.</t>
  </si>
  <si>
    <t>parrondosc@inta.es</t>
  </si>
  <si>
    <t>von der Gathen, Peter/B-8515-2009; Yela Gonzalez, Margarita/J-7346-2016</t>
  </si>
  <si>
    <t>von der Gathen, Peter/0000-0001-7409-1556; Yela Gonzalez, Margarita/0000-0003-3775-3156</t>
  </si>
  <si>
    <t>COPERNICUS PUBLICATIONS</t>
  </si>
  <si>
    <t>KATHLENBURG-LINDAU</t>
  </si>
  <si>
    <t>MAX-PLANCK-STR 13, KATHLENBURG-LINDAU, 37191, GERMANY</t>
  </si>
  <si>
    <t>1680-7316</t>
  </si>
  <si>
    <t>ATMOS CHEM PHYS</t>
  </si>
  <si>
    <t>Atmos. Chem. Phys.</t>
  </si>
  <si>
    <t>JAN 24</t>
  </si>
  <si>
    <t>10.5194/acp-7-435-2007</t>
  </si>
  <si>
    <t>129RR</t>
  </si>
  <si>
    <t>Green Submitted, gold</t>
  </si>
  <si>
    <t>WOS:000243747800002</t>
  </si>
  <si>
    <t>Grew, RS; Menk, FW; Clilverd, MA; Sandel, BR</t>
  </si>
  <si>
    <t>Grew, R. S.; Menk, F. W.; Clilverd, M. A.; Sandel, B. R.</t>
  </si>
  <si>
    <t>Mass and electron densities in the inner magnetosphere during a prolonged disturbed interval</t>
  </si>
  <si>
    <t>FIELD LINE RESONANCES; GEOMAGNETIC-FIELD; IMAGE-RPI; IN-SITU; ART.; PLASMAPAUSE; PLASMASPHERE; MODEL; EUV</t>
  </si>
  <si>
    <t>The equatorial plasma density and composition at L = 2.5 were studied during an extended disturbed interval using field line resonance measurements ( yielding plasma mass density), naturally and artificially stimulated VLF whistlers ( electron number density) and IMAGE EUV observations (plasmapause position and line-of-sight He+ intensity). During the storm the plasmapause moved to L&lt; 2.5 and at least one density notch and drainage plume formed. These features were evident in all the data sets for some days. One notch extended from 2.4 - 4.5 R-E and spanned &lt; 4 hours in MLT. Plume mass and electron densities were enhanced by a factor of about 3. In the plasmasphere and plasmatrough the H+: He+: O+ composition by number was similar to 82: 15: 3. However, just outside the plasmapause the O+ concentration exceeded 50%, suggesting the presence of an oxygen torus.</t>
  </si>
  <si>
    <t>Univ Newcastle, Sch Math &amp; Phys Sci, Newcastle, NSW 2308, Australia; British Antarctic Survey, Cambridge CB3 0ET, England; Univ Arizona, Lunar &amp; Planetary Lab, Tucson, AZ 85721 USA</t>
  </si>
  <si>
    <t>University of Newcastle; UK Research &amp; Innovation (UKRI); Natural Environment Research Council (NERC); NERC British Antarctic Survey; University of Arizona</t>
  </si>
  <si>
    <t>Grew, RS (corresponding author), Univ Newcastle, Sch Math &amp; Phys Sci, Newcastle, NSW 2308, Australia.</t>
  </si>
  <si>
    <t>russell.grew@physics.org; fred.menk@newcastle.edu.au; macl@bas.ac.uk; sandel@vega.lpl.arizona.edu</t>
  </si>
  <si>
    <t>Menk, Frederick/A-2640-2009</t>
  </si>
  <si>
    <t>Menk, Frederick/0000-0002-1154-6223</t>
  </si>
  <si>
    <t>L02108</t>
  </si>
  <si>
    <t>10.1029/2006GL028254</t>
  </si>
  <si>
    <t>131NB</t>
  </si>
  <si>
    <t>WOS:000243874900004</t>
  </si>
  <si>
    <t>Thompson, BAW; Goldsworthy, PM; Riddle, MJ; Snape, I; Stark, JS</t>
  </si>
  <si>
    <t>Thompson, B. A. W.; Goldsworthy, P. M.; Riddle, M. J.; Snape, I.; Stark, J. S.</t>
  </si>
  <si>
    <t>Contamination effects by a 'conventional' and a 'biodegradable' lubricant oil on infaunal recruitment to Antarctic sediments: A field experiment</t>
  </si>
  <si>
    <t>Antarctica; hydrocarbons; infaunal communities; oils; synthetic lubricants</t>
  </si>
  <si>
    <t>PRINCE-WILLIAM-SOUND; BENTHIC INVERTEBRATES; CRUDE-OIL; SUBTIDAL COMMUNITIES; ENVIRONMENTAL-IMPACT; MARINE POLLUTION; SPILL; VALDEZ; TOXICITY; RECOVERY</t>
  </si>
  <si>
    <t>To investigate the impacts of synthetic lubricants on Antarctic infaunal communities, a field experiment was setup near Australia's Casey Station, East Antarctica. Two types of synthetic lubricants were tested: an 'Unused' and 'Used' conventional synthetic lubricant, and an alternative marketed as 'biodegradable'. Clean defaunated sediment was contaminated with the lubricants, decanted into trays, and deployed by divers onto the seabed in a randomised block design. Sediments were sampled 5 and 56 weeks after deployment. After 5 weeks, benthic assemblages that had recruited to the lubricant contaminated sediments were significantly different to those in 'Control' sediments, and differences were more pronounced after 56 weeks. Total number of individuals did not significantly differ between treatments after 5 weeks. However, after 56 weeks total individuals in the 'Control' sediments were significantly greater than in the contaminated sediments. Nototanais antarcticus (tanaid) and to a lesser extent Monoculodes sp. (gammarid), Tanaid sp. IV and Eudorella sp. (cumacean) had significantly higher abundances in the control sediments after 56 weeks compared to the contaminated sediments. Copepods numerically dominated the benthic assemblages at both sampling times; however, their abundance did not significantly differ across treatments. The community recruiting to the contaminated sediments remained different from that in the 'Control' sediments for the duration of the experiment (I year). The 'biodegradable' lubricant was just as environmentally harmful to the Antarctic infauna as the 'conventional' lubricant currently used at Australia's Antarctic stations. Our results demonstrate that changes to recruitment are one of the potential environmental consequences of a lubricant spill to Antarctic benthic communities, and reinforce the importance of preventative oil spill management and effective clean-up procedures. Further monitoring of this field experiment will provide much needed information about the long-term impacts by synthetic lubricants in the Antarctic marine environment. (c) 2006 Elsevier B.V. All rights reserved.</t>
  </si>
  <si>
    <t>Australian Antarctic Div, Human Impacts Res Program, Kingston, Tas 7050, Australia; Univ Tasmania, Sch Agr Sci, Sandy Bay, Tas 7004, Australia</t>
  </si>
  <si>
    <t>Thompson, BAW (corresponding author), Australian Antarctic Div, Human Impacts Res Program, Channel Highway, Kingston, Tas 7050, Australia.</t>
  </si>
  <si>
    <t>Belinda.Thompson@erm.com</t>
  </si>
  <si>
    <t>Stark, Jonathan/ABF-4025-2020</t>
  </si>
  <si>
    <t>Stark, Jonathan/0000-0002-4268-8072</t>
  </si>
  <si>
    <t>JAN 23</t>
  </si>
  <si>
    <t>10.1016/j.jembe.2006.09.010</t>
  </si>
  <si>
    <t>127AU</t>
  </si>
  <si>
    <t>WOS:000243557900009</t>
  </si>
  <si>
    <t>Riddle, MJ; Craven, M; Goldsworthy, PM; Carsey, F</t>
  </si>
  <si>
    <t>Riddle, M. J.; Craven, M.; Goldsworthy, P. M.; Carsey, F.</t>
  </si>
  <si>
    <t>A diverse benthic assemblage 100 km from open water under the Amery Ice Shelf, Antarctica</t>
  </si>
  <si>
    <t>MCMURDO SOUND; WHITE ISLAND; HOLOCENE RETREAT; EAST ANTARCTICA; BEAVER LAKE; PRYDZ BAY; ROSS SEA; BENEATH; WEDDELL; PENINSULA</t>
  </si>
  <si>
    <t>[1] A hot water drill was used to penetrate 480 m of ice to reveal a diverse benthic assemblage, dominated by suspension-feeding invertebrates, under the Amery Ice Shelf ( East Antarctica) at a location 100 km from open water and at a depth of 775 m below sea level ( 840 m below the ice shelf surface). This is the first record of a benthic assemblage of this type found at this distance under an ice shelf. The few previous reports of life under ice shelves describe assemblages with very different trophic strategies ( e. g., sparse assemblages of mobile scavengers or chemotrophs) or are in circumstances in which in situ photosynthesis at tide cracks or through the ice cannot be ruled out as a potential source of primary production. The physical characteristics of the Amery Ice Shelf and the feeding strategies represented together indicate that the only likely source of primary production to sustain the benthic assemblage is material advected from open water. This suggestion is supported by observed current speeds in the vicinity and reported rates of particle settling. The observation under an ice shelf of a benthic assemblage that is very similar to those found elsewhere in Antarctica, in locations dominated by annual sea ice or at depths below the photic zone, has implications for the interpretation of sediment paleorecords to represent the history of ice shelf advance and retreat. Without observations of this living assemblage in situ, the remnants of its component species in the sediment record, such as sponge spicules, echinoderm ossicles, and bryozoan fragments, could be interpreted reasonably, but erroneously, to represent open water conditions.</t>
  </si>
  <si>
    <t>Australian Govt Antarctic Div, Kingston, Tas 7050, Australia; Australian Govt Antarctic Div, Hobart, Tas, Australia; Antarctic Climate &amp; Ecosyst Cooperat Res Ctr, Hobart, Tas, Australia; CALTECH, Jet Prop Lab, Pasadena, CA USA</t>
  </si>
  <si>
    <t>Australian Antarctic Division; Australian Antarctic Division; Antarctic Climate &amp; Ecosystems Cooperative Research Centre (ACE CRC); California Institute of Technology; National Aeronautics &amp; Space Administration (NASA); NASA Jet Propulsion Laboratory (JPL)</t>
  </si>
  <si>
    <t>Riddle, MJ (corresponding author), Australian Govt Antarctic Div, Channel Highway, Kingston, Tas 7050, Australia.</t>
  </si>
  <si>
    <t>martin.riddle@aad.gov.au</t>
  </si>
  <si>
    <t>PA1204</t>
  </si>
  <si>
    <t>10.1029/2006PA001327</t>
  </si>
  <si>
    <t>131OE</t>
  </si>
  <si>
    <t>WOS:000243878100002</t>
  </si>
  <si>
    <t>Gál, J; Miyazaki, T; Meyer-Rochow, VB</t>
  </si>
  <si>
    <t>Gal, Jozsef; Miyazaki, Taeko; Meyer-Rochow, Victor Benno</t>
  </si>
  <si>
    <t>Computational determination of refractive index distribution in the crystalline cones of the compound eye of Antarctic krill (Euphausia superba)</t>
  </si>
  <si>
    <t>JOURNAL OF THEORETICAL BIOLOGY</t>
  </si>
  <si>
    <t>photoreception; superposition; vision; optics; plankton; Euphausiaceae; ray tracing; whale food</t>
  </si>
  <si>
    <t>MEGANYCTIPHANES-NORVEGICA; OPTICAL GEOMETRY; CRUSTACEAN; LIMITS</t>
  </si>
  <si>
    <t>In order to understand how a compound eye channels light to the retina and forms an image, one needs to know the refractive index distribution in the crystalline cones. Direct measurements of the refractive indices require sections of fresh, unfixed tissue and the use of an interference microscope, but frequently neither is available. Using the eye of the Antarctic krill Euphausia superba (the main food of baleen whales) we developed a computational method to predict a likely refractive index distribution non-invasively from sections of fixed material without the need of an interference microscope. We used a computer model of the eye and calculated the most realistic spatial distribution of the refractive index gradient in the crystalline cone that would enable the eye to produce a sharp image on the retina. The animals are known to see well and on the basis of our computations we predict that for the eyes of the adult a maximum refractive index of 1.45-1.50 in the centre of the cone yields a better angular sensitivity and light absorption in a target receptor of the retina than if N-max were 1.55. In juveniles with a narrower spatial separation between dioptric structures and retina, however, an N-max of 1.50-1.55 gives a superior result. Our method to determine the most likely refractive index distribution in the cone without the need of fresh material and an interference microscope could be useful in the study of other invertebrate eyes that are known to possess good resolving power, but for a variety of reasons are not suitable for or will not permit direct refractive index measurements of their dioptric tissues to be taken. (c) 2006 Elsevier Ltd. All rights reserved.</t>
  </si>
  <si>
    <t>IUB, Sch Sci &amp; Engn, D-28759 Bremen, Germany; Mie Univ, Fac Bioresources, Tsu, Mie 514, Japan; Univ Oulu, Zool Museum, Dept Biol, SF-90014 Oulu, Finland</t>
  </si>
  <si>
    <t>Mie University; University of Oulu</t>
  </si>
  <si>
    <t>Meyer-Rochow, VB (corresponding author), IUB, Sch Sci &amp; Engn, Campus Ring 1, D-28759 Bremen, Germany.</t>
  </si>
  <si>
    <t>b.meyer-rochow@iu-bremen.de</t>
  </si>
  <si>
    <t>MEYER-ROCHOW, Victor Benno/AAJ-7258-2020</t>
  </si>
  <si>
    <t>MEYER-ROCHOW, V. Benno/0000-0003-1531-9244</t>
  </si>
  <si>
    <t>0022-5193</t>
  </si>
  <si>
    <t>J THEOR BIOL</t>
  </si>
  <si>
    <t>J. Theor. Biol.</t>
  </si>
  <si>
    <t>JAN 21</t>
  </si>
  <si>
    <t>10.1016/j.jtbi.2006.08.001</t>
  </si>
  <si>
    <t>Biology; Mathematical &amp; Computational Biology</t>
  </si>
  <si>
    <t>Life Sciences &amp; Biomedicine - Other Topics; Mathematical &amp; Computational Biology</t>
  </si>
  <si>
    <t>123AC</t>
  </si>
  <si>
    <t>WOS:000243267700013</t>
  </si>
  <si>
    <t>Fan, Ke</t>
  </si>
  <si>
    <t>Zonal asymmetry of the Antarctic Oscillation</t>
  </si>
  <si>
    <t>SOUTHERN-OSCILLATION; ANNULAR MODE; SEA-ICE; VARIABILITY; PRECIPITATION; INDEX</t>
  </si>
  <si>
    <t>[1] In this research, the zonal asymmetry of the southern annular mode, or the Antarctic Oscillation (AAO), is studied. It is indicated that apparent zonal asymmetry exists in the normalized sea level pressure differences between the middle and high latitudes during the boreal summer, among different longitudes, especially between the Western and Eastern Hemispheres. Results show that the Southern Oscillation (SO) is responsible for part of the zonal asymmetry in AAO. The Western Hemisphere and the Eastern Hemisphere parts of AAO are correlated at 0.23 and 0.52 respectively for the period of 1959-1998 before and after the linear regressions on the Southern Oscillation Index (SOI) have been removed from the time series. The paper also discusses the relationship between the precipitation in the East Asia and the AAO before and after removing the linear regressions on SO index (SOI), indicating the stable relationship between the East Asian precipitation and the zonal symmetric component of AAO.</t>
  </si>
  <si>
    <t>JAN 20</t>
  </si>
  <si>
    <t>L02706</t>
  </si>
  <si>
    <t>10.1029/2006GL028045</t>
  </si>
  <si>
    <t>131DR</t>
  </si>
  <si>
    <t>WOS:000243848900004</t>
  </si>
  <si>
    <t>Taschetto, A; Wainer, I; Raphael, M</t>
  </si>
  <si>
    <t>Taschetto, A.; Wainer, I.; Raphael, M.</t>
  </si>
  <si>
    <t>Interannual variability associated with Semiannual Oscillation in southern high latitudes</t>
  </si>
  <si>
    <t>ANTARCTIC CIRCUMPOLAR WAVE; EXTRATROPICAL CIRCULATION; SURFACE PRESSURE; ANNULAR MODES; ANNUAL CYCLE; SEA-ICE; HEMISPHERE; TEMPERATURE; REANALYSIS; CLIMATE</t>
  </si>
  <si>
    <t>The annual and interannual variations of sea level pressure (SLP) over the Southern Ocean are investigated using the NCEP/NCAR reanalysis data from 1968 to 2005. Results show that the weakening of the Semiannual Oscillation (SAO) has continued to present day but does not occur homogeneously across all longitudes. While the second harmonic of SLP has decreased over the South Pacific Ocean, its signal is still strong over the Atlantic sector up to 2005. This suggests that the mechanism influencing the amplitude of the SAO over South Atlantic Ocean is different to that in the Pacific and Indian oceans. Spectral analysis of zonally averaged SLP at 50 degrees S and 65 degrees S shows that significant energy is associated with the period of 4 years. The same period is found for the time series of the zonally averaged position of the circumpolar trough and for the meridional temperature gradient at 500 hPa. This interannual signal is even stronger in the time series of the SLP difference between those two latitudes: the SAO index. Wavelet analysis of the SLP time series at mid and high southern latitudes showed significant interannual energy, also with a 4 year period, at 50 degrees S, 65 degrees S, and in the time series of their difference. When analyzed by ocean basins, spectral analysis reveal that there is no interannual variability at the 4 year period for the Atlantic, indicating that the known weakening of the SAO is basin-dependent.</t>
  </si>
  <si>
    <t>Univ Sao Paulo, Dept Phys Oceanog, Sao Paulo, Brazil; Univ Calif Los Angeles, Dept Geog, Los Angeles, CA USA</t>
  </si>
  <si>
    <t>Universidade de Sao Paulo; University of California System; University of California Los Angeles</t>
  </si>
  <si>
    <t>Taschetto, A (corresponding author), Univ Sao Paulo, Dept Phys Oceanog, Sao Paulo, Brazil.</t>
  </si>
  <si>
    <t>andreast@usp.br</t>
  </si>
  <si>
    <t>Taschetto, Andrea S/H-2050-2011; WAINER, ILANA/B-4540-2011</t>
  </si>
  <si>
    <t>WAINER, ILANA/0000-0003-3784-623X; Taschetto, Andrea/0000-0001-6020-1603</t>
  </si>
  <si>
    <t>D2</t>
  </si>
  <si>
    <t>D02106</t>
  </si>
  <si>
    <t>10.1029/2006JD007648</t>
  </si>
  <si>
    <t>131DY</t>
  </si>
  <si>
    <t>WOS:000243849600006</t>
  </si>
  <si>
    <t>Di Vincenzo, G; Talarico, F; Kleinschmidt, G</t>
  </si>
  <si>
    <t>Di Vincenzo, G.; Talarico, F.; Kleinschmidt, G.</t>
  </si>
  <si>
    <t>An 40Ar-39Ar investigation of the Mertz Glacier area (George V Land, Antarctica): implications for the Ross Orogen-East Antarctic Craton relationship and Gondwana reconstructions</t>
  </si>
  <si>
    <t>Antarctica; 40Ar-39Ar dating; George V Land; proterozoic; Ross Orogen; shear zone</t>
  </si>
  <si>
    <t>GAWLER CRATON; DELAMERIAN OROGENY; AUSTRALIA; AMPHIBOLES; ZIRCON; PROVENANCE; EVOLUTION; AR-40; ZONES</t>
  </si>
  <si>
    <t>George V Land (Antarctica) includes the boundary between Late Archean-Paleoproterozoic metamorphic terrains of the East Antarctic craton and the intrusive and metasedimentary rocks of the Early Paleozoic Ross-Delamerian Orogen. This therefore represents a key region for understanding the tectono-metamorphic evolution of the East Antarctic Craton and the Ross Orogen and for defining their structural relationship in East Antarctica, with potential implications for Gondwana reconstructions. In the East Antarctic Craton the outcrops closest to the Ross orogenic belt form the Mertz Shear Zone, a prominent ductile shear zone up to 5 km wide. Its deformation fabric includes a series of progressive, overprinting shear structures developed under different metamorphic conditions: from an early medium-P granulite-facies metamorphism, through amphibolite-facies to late greenschist-facies conditions. 40Ar-39Ar laserprobe data on biotite in mylonitic rocks from the Mertz Shear Zone indicate that the minimum age for ductile deformation under greenschist-facies conditions is 1502 +/- 19 Ma and reveal no evidence of reactivation processes linked to the Ross Orogeny. 40Ar-39Ar laserprobe data on amphibole, although plagued by excess argon, suggest the presence of a similar to 1.7 Ga old phase of regional-scale retrogression under amphibolite-facies conditions. Results support the correlation between the East Antarctic Craton in the Mertz Glacier area and the Sleaford Complex of the Gawler Craton in southern Australia, and suggest that the Mertz Shear Zone may be considered a correlative of the Kalinjala Shear Zone. An erratic immature metasandstone collected east of Ninnis Glacier (similar to 180 km east of the Mertz Glacier) and petrographically similar to metasedimentary rocks enclosed as xenoliths in Cambro-Ordovician granites cropping out along the western side of Ninnis Glacier, yielded detrital white-mica 40Ar-39Ar ages from similar to 530 to 640 Ma and a minimum age of 518 +/- 5 Ma. This pattern compares remarkably well with those previously obtained for the Kanmantoo Group from the Adelaide Rift Complex of southern Australia, thereby suggesting that the segment of the Ross Orogen exposed east of the Mertz Glacier may represent a continuation of the eastern part of the Delamerian Orogen. (c) 2006 Elsevier B.V. All rights reserved.</t>
  </si>
  <si>
    <t>CNR, Ist Geosci &amp; Georisorse, I-56124 Pisa, Italy; Univ Siena, Dipartimento Sci Terra, I-53100 Siena, Italy; Goethe Univ Frankfurt, Geol Palaontol Inst, D-60054 Frankfurt, Germany</t>
  </si>
  <si>
    <t>Consiglio Nazionale delle Ricerche (CNR); Istituto di Geoscienze e Georisorse (IGG-CNR); University of Siena; Goethe University Frankfurt</t>
  </si>
  <si>
    <t>Di Vincenzo, G (corresponding author), CNR, Ist Geosci &amp; Georisorse, Via Moruzzi 1, I-56124 Pisa, Italy.</t>
  </si>
  <si>
    <t>g.divincenzo@igg.cnr.it</t>
  </si>
  <si>
    <t>talarico, franco/G-9472-2012</t>
  </si>
  <si>
    <t>talarico, franco/0000-0002-7254-4301; DI VINCENZO, GIANFRANCO/0000-0002-9669-9789</t>
  </si>
  <si>
    <t>10.1016/j.precamres.2006.10.002</t>
  </si>
  <si>
    <t>130LK</t>
  </si>
  <si>
    <t>WOS:000243800900001</t>
  </si>
  <si>
    <t>Wickham, SA; Berninger, UG</t>
  </si>
  <si>
    <t>Wickham, Stephen A.; Berninger, Ulrike-G.</t>
  </si>
  <si>
    <t>Krill larvae, copepods and the microbial food web: interactions during the Antarctic fall</t>
  </si>
  <si>
    <t>ciliate; grazing; Antarctica; copepod; krill; furcilia; trophic cascade</t>
  </si>
  <si>
    <t>FAMILY STROMBIDIIDAE CILIOPHORA; MARGINAL ICE-ZONE; ISLES-OF-SHOALS; EUPHAUSIA-SUPERBA; TAXONOMIC DESCRIPTIONS; CILIATES CILIOPHORA; OITHONA-SIMILIS; SOUTHERN-OCEAN; PHYTOPLANKTON GROWTH; BELLINGSHAUSEN SEA</t>
  </si>
  <si>
    <t>Experiments were run in the Antarctic Bellinghausen Sea during the austral fall to ascertain the interactive effects of krill larvae (furcilia) and copepods on the microbial food web. A cross-classified design with addition of the small cyclopoid copepod Oithona similis and either the furcilia larvae of Euphausia superba or the calanoid copepod Metridia gerlachei to the natural planktonic community was used, as well as a single experiment with varying densities of O. similis. The experiments showed furcilia to have much higher grazing rates on copepods and ciliates than on algae, with positive selection for ciliates that was not influenced by the presence or absence of O. similis. M gerlachei had a grazing impact on ciliates that was much less than that of furcilia larvae, but due to a high taxonomic resolution of the ciliate community it could be shown that there were groups of grazing-vulnerable and -resistant forms. Contrary to expectations, O. similis had very low grazing rates on both ciliates and algae, but here too grazing-vulnerable and -resistant groups of ciliates could be distinguished. Neither the very strong impact of furcilia on ciliates, copepods and algae nor the more moderate impact of M gerlachei cascaded down to heterotrophic and phototrophic nanoplankton or to bacteria. At least at the time of our experiments, ciliates were tightly bound to the 'classic' aquatic food web, but do not serve to transmit atrophic cascade from the classic and microbial food webs.</t>
  </si>
  <si>
    <t>Univ Cologne, Inst Zool, D-50923 Cologne, Germany; Alfred Wegener Inst Polar &amp; Marine Res, D-27570 Bremerhaven, Germany</t>
  </si>
  <si>
    <t>University of Cologne; Helmholtz Association; Alfred Wegener Institute, Helmholtz Centre for Polar &amp; Marine Research</t>
  </si>
  <si>
    <t>Wickham, SA (corresponding author), Salzburg Univ, Dept Organismal Biol, Hellbrunnerstr 34, A-5020 Salzburg, Austria.</t>
  </si>
  <si>
    <t>steve.wickham@sbg.ac.at</t>
  </si>
  <si>
    <t>JAN 19</t>
  </si>
  <si>
    <t>10.3354/ame046001</t>
  </si>
  <si>
    <t>136AE</t>
  </si>
  <si>
    <t>WOS:000244194200001</t>
  </si>
  <si>
    <t>Assonov, SS; Brenninkmeijer, CAM; Jöckel, PJ; Mulvaney, R; Bernard, S; Chappellaz, J</t>
  </si>
  <si>
    <t>Assonov, S. S.; Brenninkmeijer, C. A. M.; Joeckel, P. J.; Mulvaney, R.; Bernard, S.; Chappellaz, J.</t>
  </si>
  <si>
    <t>Evidence for a CO increase in the SH during the 20th century based on firn air samples from Berkner Island, Antarctica</t>
  </si>
  <si>
    <t>CARBON-MONOXIDE; POLAR FIRN; ATMOSPHERIC METHANE; ISOTOPIC ANALYSIS; TROPOSPHERIC CO; ICE; SNOW; FORMALDEHYDE; ABUNDANCE; RECORD</t>
  </si>
  <si>
    <t>Trends of carbon monoxide ( CO) for the past 100 years are reported as derived from Antarctic firn drilling expeditions. Only one of 3 campaigns provided high quality results. The trend was reconstructed using a firn air model in the forward mode to constrain age distributions and assuming the CO increase to be proportional to its major source, namely CH4. The results suggest that CO has increased by similar to 38%, from 38 +/- 7 to 52.5 +/- 1.5 ppbv over a period of roughly 100 years. The concentrations are on the volumetric scale which corresponds to similar to 1.08 of the scale used by NOAA/CMDL. The estimated CO increase is somewhat larger than what is estimated from the CO budget estimations and the CH4 growth alone. The most likely explanation might be an increase in biomass burning emissions. Using CH3Cl as another proxy produces a very similar reconstruction.</t>
  </si>
  <si>
    <t>Max Planck Inst Chem, D-55020 Mainz, Germany; British Antarctic Survey, Cambridge CB3 0ET, England; Lab Glaciol &amp; Geophys Environm, F-38402 St Martin Dheres, France</t>
  </si>
  <si>
    <t>Max Planck Society; UK Research &amp; Innovation (UKRI); Natural Environment Research Council (NERC); NERC British Antarctic Survey</t>
  </si>
  <si>
    <t>Assonov, SS (corresponding author), Max Planck Inst Chem, PO 3060, D-55020 Mainz, Germany.</t>
  </si>
  <si>
    <t>Sergey.ASSONOV@ec.europa.eu</t>
  </si>
  <si>
    <t>Brenninkmeijer, Carl/B-6860-2013; Jöckel, Patrick/C-3687-2009; Chappellaz, Jérôme A./A-4872-2011; Mulvaney, Robert/K-3929-2012</t>
  </si>
  <si>
    <t>Jöckel, Patrick/0000-0002-8964-1394; Assonov, Sergey/0000-0001-9096-4150; Mulvaney, Robert/0000-0002-5372-8148</t>
  </si>
  <si>
    <t>COPERNICUS GESELLSCHAFT MBH</t>
  </si>
  <si>
    <t>GOTTINGEN</t>
  </si>
  <si>
    <t>BAHNHOFSALLEE 1E, GOTTINGEN, 37081, GERMANY</t>
  </si>
  <si>
    <t>1680-7324</t>
  </si>
  <si>
    <t>10.5194/acp-7-295-2007</t>
  </si>
  <si>
    <t>129RO</t>
  </si>
  <si>
    <t>Green Published, gold, Green Submitted, Green Accepted</t>
  </si>
  <si>
    <t>WOS:000243747500002</t>
  </si>
  <si>
    <t>Höpfner, M; von Clarmann, T; Fischer, H; Funke, B; Glatthor, N; Grabowski, U; Kellmann, S; Kiefer, M; Linden, A; Milz, M; Steck, T; Stiller, GP; Bernath, P; Blom, CE; Blumenstock, T; Boone, C; Chance, K; Coffey, MT; Friedl-Vallon, F; Griffith, D; Hannigan, JW; Hase, F; Jones, N; Jucks, KW; Keim, C; Kleinert, A; Kouker, W; Liu, GY; Mahieu, E; Mellqvist, J; Mikuteit, S; Notholt, J; Oelhaf, H; Piesch, C; Reddmann, T; Ruhnke, R; Schneider, M; Strandberg, A; Toon, G; Walker, KA; Warneke, T; Wetzel, G; Wood, S; Zander, R</t>
  </si>
  <si>
    <t>Hoepfner, M.; von Clarmann, T.; Fischer, H.; Funke, B.; Glatthor, N.; Grabowski, U.; Kellmann, S.; Kiefer, M.; Linden, A.; Milz, M.; Steck, T.; Stiller, G. P.; Bernath, P.; Blom, C. E.; Blumenstock, Th.; Boone, C.; Chance, K.; Coffey, M. T.; Friedl-Vallon, F.; Griffith, D.; Hannigan, J. W.; Hase, F.; Jones, N.; Jucks, K. W.; Keim, C.; Kleinert, A.; Kouker, W.; Liu, G. Y.; Mahieu, E.; Mellqvist, J.; Mikuteit, S.; Notholt, J.; Oelhaf, H.; Piesch, C.; Reddmann, T.; Ruhnke, R.; Schneider, M.; Strandberg, A.; Toon, G.; Walker, K. A.; Warneke, T.; Wetzel, G.; Wood, S.; Zander, R.</t>
  </si>
  <si>
    <t>Validation of MIPAS ClONO2 measurements</t>
  </si>
  <si>
    <t>SOLAR OCCULTATION SPECTRA; CHLORINE NITRATE CLONO2; LIMB EMISSION-SPECTRA; STRATOSPHERIC CHLORINE; REACTIVE NITROGEN; ANTARCTIC VORTEX; APRIL 1993; Q-BRANCH; HNO3; PROFILES</t>
  </si>
  <si>
    <t>Altitude profiles of ClONO2 retrieved with the IMK (Institut fur Meteorologie und Klimaforschung) science-oriented data processor from MIPAS/Envisat (Michelson Interferometer for Passive Atmospheric Sounding on Envisat) mid-infrared limb emission measurements between July 2002 and March 2004 have been validated by comparison with balloon-borne (Mark IV, FIRS2, MIPAS-B), airborne (MIPAS-STR), ground-based (Spitsbergen, Thule, Kiruna, Harestua, Jungfraujoch, Izana, Wollongong, Lauder), and spaceborne (ACE-FTS) observations. With few exceptions we found very good agreement between these instruments and MIPAS with no evidence for any bias in most cases and altitude regions. For balloon-borne measurements typical absolute mean differences are below 0.05 ppbv over the whole altitude range from 10 to 39 km. In case of ACE-FTS observations mean differences are below 0.03 ppbv for observations below 26 km. Above this altitude the comparison with ACE-FTS is affected by the photochemically induced diurnal variation of ClONO2. Correction for this by use of a chemical transport model led to an overcompensation of the photochemical effect by up to 0.1 ppbv at altitudes of 30-35 km in case of MIPAS-ACE-FTS comparisons while for the balloon-borne observations no such inconsistency has been detected. The comparison of MIPAS derived total column amounts with ground-based observations revealed no significant bias in the MIPAS data. Mean differences between MIPAS and FTIR column abundances are 0.11 +/- 0.12 x 10(14) cm(-2) (1.0 +/- 1.1%) and -0.09 +/- 0.19 x 10(14) cm(-2) (-0.8 +/- 1.7%), depending on the coincidence criterion applied. chi(2) tests have been performed to assess the combined precision estimates of MIPAS and the related instruments. When no exact coincidences were available as in case of MIPAS-FTIR or MIPAS-ACE-FTS comparisons it has been necessary to take into consideration a coincidence error term to account for chi(2) deviations. From the resulting chi(2) profiles there is no evidence for a systematic over/underestimation of the MIPAS random error analysis.</t>
  </si>
  <si>
    <t>Forschungszentrum Karlsruhe, Inst Meteorol &amp; Klimaforsch, Karlsruhe, Germany; Inst Astrofis Andalucia, E-18080 Granada, Spain; Univ Waterloo, Dept Chem, Waterloo, ON N2L 3G1, Canada; Harvard Smithsonian Ctr Astrophys, Atom &amp; Mol Phys Div, Cambridge, MA 02138 USA; Natl Ctr Atmospher Res, Div Atmospher Chem, Boulder, CO 80307 USA; Univ Wollongong, Dept Chem, Wollongong, NSW, Australia; Harvard Smithsonian Ctr Astrophys, Opt &amp; Infrared Astron Div, Cambridge, MA 02138 USA; Univ Liege, Inst Astrophys &amp; Geophys, B-4000 Liege, Belgium; Chalmers, Dept Radio &amp; Space Sci, S-41296 Gothenburg, Sweden; Univ Bremen, Inst Umweltphys, D-2800 Bremen 33, Germany; CALTECH, Jet Prop Lab, Pasadena, CA USA; Natl Inst Water &amp; Atmospher Res, Lauder, New Zealand</t>
  </si>
  <si>
    <t>Helmholtz Association; Karlsruhe Institute of Technology; Consejo Superior de Investigaciones Cientificas (CSIC); CSIC - Instituto de Astrofisica de Andalucia (IAA); University of Waterloo; Smithsonian Astrophysical Observatory; Harvard University; Smithsonian Institution; National Center Atmospheric Research (NCAR) - USA; University of Wollongong; Smithsonian Astrophysical Observatory; Smithsonian Institution; Harvard University; University of Liege; Chalmers University of Technology; University of Bremen; California Institute of Technology; National Aeronautics &amp; Space Administration (NASA); NASA Jet Propulsion Laboratory (JPL); National Institute of Water &amp; Atmospheric Research (NIWA) - New Zealand</t>
  </si>
  <si>
    <t>Höpfner, M (corresponding author), Forschungszentrum Karlsruhe, Inst Meteorol &amp; Klimaforsch, Karlsruhe, Germany.</t>
  </si>
  <si>
    <t>michael.hoepfner@imk.fzk.de</t>
  </si>
  <si>
    <t>Ruhnke, Roland/J-8800-2012; Jones, Nicholas/AFU-3135-2022; Stiller, Gabriele P./A-7340-2013; Glatthor, Norbert/B-2141-2013; Schneider, Matthias/B-1441-2013; Bernath, Peter F/B-6567-2012; Milz, Mathias/C-9899-2011; Blumenstock, Thomas/K-2263-2012; Reddmann, Thomas/A-7681-2013; Hase, Frank/A-7497-2013; Oelhaf, Hermann A/A-7895-2013; Kleinert, Anne/A-7048-2013; von Clarmann, Thomas/A-7287-2013; Kiefer, Michael/A-7254-2013; Warneke, Thorsten/K-1884-2012; Jones, Nicholas B/G-5575-2011; Wetzel, Gerald/A-7065-2013; Friedl-Vallon, Felix/AAE-7289-2022; Barthlott, Sabine/B-1439-2013; Felix Friedl-Vallon, Felix/A-7741-2013; Mellqvist, Johan/B-3473-2016; Funke, Bernd/C-2162-2008; Notholt, Justus/P-4520-2016; Hopfner, Michael/A-7255-2013</t>
  </si>
  <si>
    <t>Ruhnke, Roland/0000-0002-0353-1603; Jones, Nicholas/0000-0002-0111-2368; Stiller, Gabriele P./0000-0003-2883-6873; Bernath, Peter F/0000-0002-1255-396X; Blumenstock, Thomas/0000-0003-4005-900X; Reddmann, Thomas/0000-0003-1733-7016; Warneke, Thorsten/0000-0001-5185-3415; Wetzel, Gerald/0000-0002-6671-0297; Friedl-Vallon, Felix/0000-0003-2016-2800; Barthlott, Sabine/0000-0003-0258-9421; Chance, Kelly/0000-0002-7339-7577; Mahieu, Emmanuel/0000-0002-5251-0286; Hannigan, James/0000-0002-4269-1677; von Clarmann, Thomas/0000-0003-2219-3379; Milz, Mathias/0000-0002-4478-2185; Mellqvist, Johan/0000-0002-6578-9220; Funke, Bernd/0000-0003-0462-4702; Notholt, Justus/0000-0002-3324-885X; Hopfner, Michael/0000-0002-4174-9531</t>
  </si>
  <si>
    <t>JAN 18</t>
  </si>
  <si>
    <t>10.5194/acp-7-257-2007</t>
  </si>
  <si>
    <t>129RN</t>
  </si>
  <si>
    <t>WOS:000243747400002</t>
  </si>
  <si>
    <t>Abram, NJ; Gagan, MK; Liu, ZY; Hantoro, WS; McCulloch, MT; Suwargadi, BW</t>
  </si>
  <si>
    <t>Abram, Nerilie J.; Gagan, Michael K.; Liu, Zhengyu; Hantoro, Wahyoe S.; McCulloch, Malcolm T.; Suwargadi, Bambang W.</t>
  </si>
  <si>
    <t>Seasonal characteristics of the Indian Ocean Dipole during the Holocene epoch</t>
  </si>
  <si>
    <t>SEA-SURFACE TEMPERATURE; SUMMER MONSOON; EL-NINO; ASIAN MONSOON; ENSO; PACIFIC; PRECIPITATION; OSCILLATION; MIDHOLOCENE; VARIABILITY</t>
  </si>
  <si>
    <t>The Indian Ocean Dipole(1,2) (IOD) - an oscillatory mode of coupled ocean - atmosphere variability - causes climatic extremes and socio-economic hardship throughout the tropical Indian Ocean region(1-5). There is much debate about how the IOD interacts with the El Nino/Southern Oscillation (ENSO) and the Asian monsoon, and recent changes in the historic ENSO - monsoon relationship(6) raise the possibility that the properties of the IOD may also be evolving. Improving our understanding of IOD events and their climatic impacts thus requires the development of records defining IOD activity in different climatic settings, including prehistoric times when ENSO and the Asian monsoon behaved differently from the present day. Here we use coral geochemical records from the equatorial eastern Indian Ocean to reconstruct surface-ocean cooling and drought during individual IOD events over the past similar to 6,500 years. We find that IOD events during the middle Holocene were characterized by a longer duration of strong surface ocean cooling, together with droughts that peaked later than those expected by El Nino forcing alone. Climate model simulations suggest that this enhanced cooling and drying was the result of strong cross-equatorial winds driven by the strengthened Asian monsoon of the middle Holocene. These IOD - monsoon connections imply that the socioeconomic impacts of projected future changes in Asian monsoon strength may extend throughout Australasia.</t>
  </si>
  <si>
    <t>Australian Natl Univ, Res Sch Earth Sci, Canberra, ACT 0200, Australia; Univ Wisconsin, Ctr Climat Res, Madison, WI 53706 USA; Chinese Acad Sci, Earth Environm Inst, Xian 710075, Peoples R China; Ocean Univ China, Qingdao 266003, Peoples R China; Indonesian Inst Sci, Res &amp; Dev Ctr Geotechnol, Bandung 40135, Indonesia</t>
  </si>
  <si>
    <t>Australian National University; University of Wisconsin System; University of Wisconsin Madison; Chinese Academy of Sciences; Ocean University of China; National Research &amp; Innovation Agency of Indonesia (BRIN); Indonesian Institute of Sciences (LIPI)</t>
  </si>
  <si>
    <t>Abram, NJ (corresponding author), British Antarctic Survey, NERC, Cambridge CB3 0ET, England.</t>
  </si>
  <si>
    <t>nabr@bas.ac.uk; michael.gagan@anu.edu.au</t>
  </si>
  <si>
    <t>Gagan, Michael K/L-5014-2018; Abram, Nerilie/AAT-5171-2021; McCulloch, Malcolm Thomas/C-3651-2009</t>
  </si>
  <si>
    <t>Abram, Nerilie/0000-0003-1246-2344; McCulloch, Malcolm Thomas/0000-0003-1538-1558</t>
  </si>
  <si>
    <t>10.1038/nature05477</t>
  </si>
  <si>
    <t>126HT</t>
  </si>
  <si>
    <t>WOS:000243504700041</t>
  </si>
  <si>
    <t>Kaiser, S; Brandt, A</t>
  </si>
  <si>
    <t>Kaiser, Stefanie; Brandt, Angelika</t>
  </si>
  <si>
    <t>Two new species of the genus Austroniscus Vanhoeffen, 1914 (Isopoda: Asellota: Nannoniscidae) from the Antarctic shelf</t>
  </si>
  <si>
    <t>Isopoda; Austroniscus; Nannoniscidae; BENDEX; Antarctic shelf; new species</t>
  </si>
  <si>
    <t>OCEAN DEEP-SEA; PERACARIDA CRUSTACEA; EPIBENTHIC SLEDGE; MALACOSTRACA; EVOLUTION; DIVERSITY; ORIGIN; FAUNA</t>
  </si>
  <si>
    <t>During the BENDEX expedition (BENthic Disturbance-EXperiment) with RV Polarstern in Antarctic summer 2003/04, species of the genus Austroniscus Vanhoeffen, 1914 were sampled from the continental shelf of the eastern Weddell Sea. Besides Austroniscus ovalis Vanhoeffen, 1914, which is the first record of this species from western Antarctica, two other species were found, i.e. Austroniscus chelus sp. nov. and Austroniscus obscurus sp. nov. They both bear many resemblances to Austroniscus ovalis, but can be easily distinguished from A. ovalis by the shape of the rostral crest and the first pereonite. The two new species are very similar to each other but differ in the number of articles of the antennula and the shape of pleopods 3 to 5.</t>
  </si>
  <si>
    <t>Univ Hamburg, Biozentrum Grindel, D-20146 Hamburg, Germany; Univ Hamburg, Zool Museum, D-20146 Hamburg, Germany</t>
  </si>
  <si>
    <t>University of Hamburg; University of Hamburg</t>
  </si>
  <si>
    <t>Kaiser, S (corresponding author), Univ Hamburg, Biozentrum Grindel, Martin Luther King Pl 3, D-20146 Hamburg, Germany.</t>
  </si>
  <si>
    <t>stefanie.kaiser@uni-hamburg.de</t>
  </si>
  <si>
    <t>Kaiser, Stefanie/0000-0003-2026-4663</t>
  </si>
  <si>
    <t>127LZ</t>
  </si>
  <si>
    <t>WOS:000243589100003</t>
  </si>
  <si>
    <t>Livermore, R; Hillenbrand, CD; Meredith, M; Eagles, G</t>
  </si>
  <si>
    <t>Livermore, Roy; Hillenbrand, Claus-Dieter; Meredith, Mike; Eagles, Graeme</t>
  </si>
  <si>
    <t>Drake Passage and Cenozoic climate: An open and shut case?</t>
  </si>
  <si>
    <t>gateways; Southern Ocean; Antarctic Circumpolar Current; marine geology and geophysics : seafloor morphology, geology, and geophysics; paleoceanography : abrupt/rapid climate change</t>
  </si>
  <si>
    <t>ANTARCTIC CIRCUMPOLAR CURRENT; CARBON-DIOXIDE CONCENTRATIONS; SOUTHERN-OCEAN; SCOTIA SEA; TECTONIC EVOLUTION; ATMOSPHERIC CO2; PATAGONIAN OROCLINE; GLOBAL CLIMATE; MIDDLE EOCENE; POWELL BASIN</t>
  </si>
  <si>
    <t>[1] Drake Passage opening has often been viewed as a single, discrete event, possibly associated with abrupt changes in global circulation and climate at or near the Eocene-Oligocene boundary. A new plate tectonic model, based on recent reinterpretations of the opening history of basins in the Scotia Sea, suggests that an effective ocean gateway may have developed even earlier, during the middle Eocene. This is consistent with a growing body of evidence from sediment core proxy data for Eocene changes in Southern Ocean circulation and biological productivity. The period between earliest opening after similar to 50 Ma and the latest Eocene was characterized by the evolution of various current pathways across the subsiding continental shelves and intervening deep basins. This shallow opening may have caused important changes in Southern Ocean circulation, contributing to Eocene cooling and the growth of Antarctic ice sheets.</t>
  </si>
  <si>
    <t>British Antarctic Survey, Cambridge CB3 0ET, England; Alfred Wegener Inst Polar &amp; Marine Res, D-27515 Bremerhaven, Germany</t>
  </si>
  <si>
    <t>Livermore, R (corresponding author), Univ Cambridge, Dept Earth Sci, Cambridge CB2 3EQ, England.</t>
  </si>
  <si>
    <t>ral@esc.cam.ac.uk</t>
  </si>
  <si>
    <t>Livermore, Roy/M-1566-2019</t>
  </si>
  <si>
    <t>Eagles, Graeme/0000-0001-5325-0810; Meredith, Michael/0000-0002-7342-7756</t>
  </si>
  <si>
    <t>JAN 17</t>
  </si>
  <si>
    <t>Q01005</t>
  </si>
  <si>
    <t>10.1029/2005GC001224</t>
  </si>
  <si>
    <t>131DH</t>
  </si>
  <si>
    <t>WOS:000243847900001</t>
  </si>
  <si>
    <t>Lyons, WB; Welch, KA; Doggett, JK</t>
  </si>
  <si>
    <t>Lyons, W. Berry; Welch, Kathleen A.; Doggett, J. Kenneth</t>
  </si>
  <si>
    <t>Organic carbon in Antarctic snow</t>
  </si>
  <si>
    <t>ICE CORES; ACIDS</t>
  </si>
  <si>
    <t>[1] Little information exists about the concentration and temporal variations of organic components in Antarctic precipitation. We present results of TOC (total organic carbon) analyses from snowpits that were sampled on alpine glaciers in the Taylor Valley, Southern Victoria Land, Antarctica, at similar to 78 degrees S. The snowpits represent snow accumulation from the 1990s and the TOC concentrations are very low; most of the analysis yielded values below 8 mu M. These values are some of the lowest ever reported for precipitation or snowpack and indicate that TOC in glacial snow in coastal Antarctica is little influenced by terrestrial and anthropogenic emissions of organic carbon. The sources of the TOC are still not known, however the TOC variation is negatively correlated to Cl- and the other major ions in the snow suggesting a different source or timing of deposition than the seasalt aerosols and terrestrial dust.</t>
  </si>
  <si>
    <t>Ohio State Univ, Byrd Polar Res Ctr, Columbus, OH 43210 USA; Ohio State Univ, Dept Geol Sci, Columbus, OH 43210 USA; Univ Hawaii Manoa, Dept Oceanog, Honolulu, HI 96822 USA</t>
  </si>
  <si>
    <t>University System of Ohio; Ohio State University; University System of Ohio; Ohio State University; University of Hawaii System; University of Hawaii Manoa</t>
  </si>
  <si>
    <t>Lyons, WB (corresponding author), Ohio State Univ, Byrd Polar Res Ctr, Scott Hall, Columbus, OH 43210 USA.</t>
  </si>
  <si>
    <t>lyons.142@osu.edu</t>
  </si>
  <si>
    <t>Welch, Kathleen/0000-0003-1028-3086</t>
  </si>
  <si>
    <t>Directorate For Geosciences; Office of Polar Programs (OPP) [0832755, 1041742] Funding Source: National Science Foundation</t>
  </si>
  <si>
    <t>Directorate For Geosciences; Office of Polar Programs (OPP)(National Science Foundation (NSF)NSF - Directorate for Geosciences (GEO))</t>
  </si>
  <si>
    <t>JAN 16</t>
  </si>
  <si>
    <t>L02501</t>
  </si>
  <si>
    <t>10.1029/2006GL028150</t>
  </si>
  <si>
    <t>131DK</t>
  </si>
  <si>
    <t>WOS:000243848200003</t>
  </si>
  <si>
    <t>Walker, DP; Brandon, MA; Jenkins, A; Allen, JT; Dowdeswell, JA; Evans, J</t>
  </si>
  <si>
    <t>Walker, Dziga P.; Brandon, Mark A.; Jenkins, Adrian; Allen, John T.; Dowdeswell, Julian A.; Evans, Jeff</t>
  </si>
  <si>
    <t>Oceanic heat transport onto the Amundsen Sea shelf through a submarine glacial trough</t>
  </si>
  <si>
    <t>ANTARCTIC ICE-SHEET; PINE ISLAND BAY; WEST ANTARCTICA; WIDESPREAD; EXTENT; FRONT; SLOPE; WATER</t>
  </si>
  <si>
    <t>[1] Glaciers which drain the West Antarctic Ice Sheet (WAIS) into the Amundsen Sea are accelerating and thinning rapidly. These observations have been attributed to the regional oceanography whereby heat contained within Circumpolar Deep Water (CDW) drives the basal melting of floating glaciers. On the basis of new data we calculate that 2.8 terra-Watts (10(12)) of oceanic heat flow onto the continental shelf and toward the glaciers via a submarine glacial trough. This is enough to account for most of the basal melting in the entire region suggesting the ocean is supplying an excess of heat toward the Antarctic continent.</t>
  </si>
  <si>
    <t>Open Univ, Ctr Earth Planetary Space &amp; Astron Res, Milton Keynes MK7 6AA, Bucks, England; British Antarctic Survey, Cambridge CB3 0ET, England; Univ Southampton, Natl Oceanog Ctr, Southampton SO14 3ZH, Hants, England; Univ Cambridge, Scott Polar Res Inst, Cambridge CB2 1ER, England</t>
  </si>
  <si>
    <t>Open University - UK; UK Research &amp; Innovation (UKRI); Natural Environment Research Council (NERC); NERC British Antarctic Survey; University of Southampton; NERC National Oceanography Centre; University of Cambridge</t>
  </si>
  <si>
    <t>Walker, DP (corresponding author), Open Univ, Ctr Earth Planetary Space &amp; Astron Res, Milton Keynes MK7 6AA, Bucks, England.</t>
  </si>
  <si>
    <t>m.a.brandon@open.ac.uk</t>
  </si>
  <si>
    <t>Brandon, Mark A/A-5804-2010; Allen, John Taylor/AHB-3419-2022; Evans, Jeffrey/F-5548-2010; Jenkins, Adrian/IUN-2406-2023</t>
  </si>
  <si>
    <t>Allen, John Taylor/0000-0001-7357-6623; Brandon, Mark/0000-0002-7779-0958; Jenkins, Adrian/0000-0002-9117-0616; Dowdeswell, Julian/0000-0003-1369-9482</t>
  </si>
  <si>
    <t>NERC [bas010013, soc010008, soc010009] Funding Source: UKRI; Natural Environment Research Council [NER/T/S/2000/00986, soc010009, soc010008, bas010013, NER/T/S/2000/00987] Funding Source: researchfish</t>
  </si>
  <si>
    <t>L02602</t>
  </si>
  <si>
    <t>10.1029/2006GL028154</t>
  </si>
  <si>
    <t>WOS:000243848200004</t>
  </si>
  <si>
    <t>Carpenter, LJ; Wevill, DJ; Palmer, CJ; Michels, J</t>
  </si>
  <si>
    <t>Carpenter, L. J.; Wevill, D. J.; Palmer, C. J.; Michels, J.</t>
  </si>
  <si>
    <t>Depth profiles of volatile iodine and bromine-containing halocarbons in coastal Antarctic waters</t>
  </si>
  <si>
    <t>halogenated hydrocarbons; atmospheric chemistry; phytoplankton; ice algae; bromoform; diiodomethane</t>
  </si>
  <si>
    <t>BIOGENIC HALOCARBONS; ORGANIC-COMPOUNDS; ICE ALGAE; SEA-ICE; BROMOFORM; SEAWATER; OCEAN; ATLANTIC; HYDROCARBONS; ORGANOIODINE</t>
  </si>
  <si>
    <t>Measurements of bromoform (CHBr3), diiodomethane (CH2I2), chloroiodomethane (CH2ICI) and bromoiodomethane (CHZIBr) were made in the water column (5-100 m depth) of the Southern Ocean within 0-40 km of the Antarctic sea ice during the ANTXX1/2 transect of the German R/V Polarstern,, at five locations between 70-72 degrees S and 9-11 degrees W in the Antarctic spring/ summer of 2003-2004. Some of the profiles exhibited a very pronounced layer of surface sea-ice meltwater, as evidenced by salinity minima and temperature maxima, along with surface maxima in concentrations of CHBr3, CH2I2, CH2ICI and CH2IBr. These results are consistent with in situ surface halocarbon production by ice algae liberated from the sea ice, although production within the sea ice followed by transport cannot be entirely ruled out. Additional sub-surface maxima in halocarbons occurred between 20 and 80 m. At a station further from shore and not affected by surface sea-ice meltwater, surface concentrations of CH2I2 were decreased whereas CH2ICI concentrations were increased compared to the stations influenced by meltwater, consistent with photochemical conversion of CH2I2 to CH2ICI, perhaps during upward mixing from a layer at - 70 m enhanced in iodocarbons. Mean surface (5-10 m) water concentrations of halocarbons in these coastal Antarctic waters were 57 pmol l(-1) CHBr3 (range 44-78 pmol l(-1)), 4.2 pmol l(-1) CH2I2 range 1.7-8.2 pmol l(-1)), 0.8 pmol l(-1) CH2IBr (range 0.2-1.4 pmol l(-1)), and 0.7 pmol l(-1) CH2ICI (range 0.2-2.4 pmol l(-1)). Concurrent measurements in air suggested a sea-air flux of bromoform near the Antarctic coast of between 1 and 100 (mean 32.3, median 10.4) nmol m(2) day' and saturation anomalies of 557-1082% (mean 783%, median 733%), similar in magnitude to global shelf values. In surface samples affected by meltwater, CH2I2 fluxes ranged from 0.02 to 6.1 nmol m(2) day 1, with mean and median values of 1.9 and 1.1 nmol m(2) day 1, respectively. (c) 2006 Elsevier B.V All rights reserved.</t>
  </si>
  <si>
    <t>Univ York, Dept Chem, York YO10 5DD, N Yorkshire, England; Alfred Wegener Inst Polar &amp; Marine Res, D-27515 Bremerhaven, Germany</t>
  </si>
  <si>
    <t>University of York - UK; Helmholtz Association; Alfred Wegener Institute, Helmholtz Centre for Polar &amp; Marine Research</t>
  </si>
  <si>
    <t>Carpenter, LJ (corresponding author), Univ York, Dept Chem, York YO10 5DD, N Yorkshire, England.</t>
  </si>
  <si>
    <t>ljc4@york.ac.uk</t>
  </si>
  <si>
    <t>Carpenter, Lucy J/E-6742-2013; Michels, Jan/B-1023-2014; Carpenter, Laura/JPY-0437-2023</t>
  </si>
  <si>
    <t>Carpenter, Lucy/0000-0002-6257-3950</t>
  </si>
  <si>
    <t>10.1016/j.marchem.2006.08.003</t>
  </si>
  <si>
    <t>138VS</t>
  </si>
  <si>
    <t>WOS:000244392000002</t>
  </si>
  <si>
    <t>Danesi, S; Bannister, S; Morelli, A</t>
  </si>
  <si>
    <t>Danesi, Stefania; Bannister, Stephen; Morelli, Andrea</t>
  </si>
  <si>
    <t>Repeating earthquakes from rupture of an asperity under an Antarctic outlet glacier</t>
  </si>
  <si>
    <t>glacial earthquakes; David Glacier; glacial dynamics; double-difference hypocentre location; Gutenberg-Richter relationship; repeating earthquakes; Antarctica</t>
  </si>
  <si>
    <t>ICE STREAM-B; SOURCE PARAMETERS; WEST ANTARCTICA; PARKFIELD; FAULT; SEISMICITY; SPECTRA; REGION</t>
  </si>
  <si>
    <t>The inner regions of the Antarctic continent are generally regarded as nearly aseismic, although microseismicity is known to occur beneath some outlet ice streams, related to the interaction between the fast flowing ice and the bedrock. Here we show the occurrence of unusual earthquakes beneath an Antarctic outlet glacier that share almost the same magnitude, pointing to the repeated rupture of a single asperity. These seismic events produce waveforms with very high similarity and uncommon spectrum and are tightly clustered in space but, unlike other reported instances of repeating earthquakes on a patch of the San Andreas Fault, they occur in frequent irregular swarms. Evidence locates these events at the rock-ice interface under the glacier, and shows the existence of stick-slip motion on a smaller scale than the large slow slip events detected by global seismographs. Seismic behaviour of large glaciers can presumably be connected to surges in ice motion. This study determines a little known environment for fracture dynamics studies, while also contributing to the understanding of the coupling processes between fast flowing glaciers and bedrock that influence ice stream evolution and stability. (c) 2006 Elsevier B.V. All rights reserved.</t>
  </si>
  <si>
    <t>Ist Nazl Geofis &amp; Vulcanol, Sez Bologna, I-40128 Bologna, Italy; GNS Sci, Lower Hutt, New Zealand</t>
  </si>
  <si>
    <t>Istituto Nazionale Geofisica e Vulcanologia (INGV); GNS Science - New Zealand</t>
  </si>
  <si>
    <t>Danesi, S (corresponding author), Ist Nazl Geofis &amp; Vulcanol, Sez Bologna, V Donato Creti 12, I-40128 Bologna, Italy.</t>
  </si>
  <si>
    <t>danesi@ingv.it; s.bannister@gns.cri.nz; morelli@ingv.it</t>
  </si>
  <si>
    <t>Bannister, Stephen/B-4038-2008; morelli, andrea/F-2486-2016; Danesi, Stefania/AAA-9000-2021</t>
  </si>
  <si>
    <t>Danesi, Stefania/0000-0002-7884-8242; Morelli, Andrea/0000-0002-7400-8676; Bannister, Stephen/0000-0002-2125-0506</t>
  </si>
  <si>
    <t>JAN 15</t>
  </si>
  <si>
    <t>10.1016/j.epsl.2006.10.023</t>
  </si>
  <si>
    <t>136AK</t>
  </si>
  <si>
    <t>WOS:000244194800012</t>
  </si>
  <si>
    <t>Prakash, D; Arima, M; Mohan, A</t>
  </si>
  <si>
    <t>Prakash, D.; Arima, M.; Mohan, A.</t>
  </si>
  <si>
    <t>Ultrahigh-temperature mafic granulites from Panrimalai, south India: Constraints from phase equilibria and thermobarometry</t>
  </si>
  <si>
    <t>JOURNAL OF ASIAN EARTH SCIENCES</t>
  </si>
  <si>
    <t>garnet-bearing matic granulites; symplectite textures; ultrahigh-temperature decompression; SGT; thermobarometry; TWQ program</t>
  </si>
  <si>
    <t>SAPPHIRINE-BEARING GRANULITES; ORTHO-PYROXENE-PLAGIOCLASE; P-T CONDITIONS; METAMORPHIC EVOLUTION; EAST ANTARCTICA; TAMIL-NADU; U-PB; ISOTHERMAL DECOMPRESSION; 2-STAGE DECOMPRESSION; GARNET THERMOMETER</t>
  </si>
  <si>
    <t>The Panrimalai area constitutes part of the granulite-facies rocks of the Madurai block in the Southern Granulite Terrain (SGT), India. Garnet-bearing mafic granulites in Panrimalai occur as small enclaves within charnockite. The common stable assemblage during peak metamorphism contains hornblende, garnet, orthopyroxene, clinopyroxene, quartz and plagioclase. The resorption of garnet in various reaction textures and the development of spectacular orthopyroxene-plagioclase and hornblende-plagioclase symplectites characterize the subsequent stages of metamorphism. Application of multi-equilibrium calculation procedures for mineral core compositions of the early assemblage yields near peak conditions at &gt;= 900 degrees C at 9 kbar. These estimates are the highest yet reported in mafic granulites from the Madurai block. The post-peak P-T path is constructed for the mafic granulites based on observed microstructural relations and thermobarometric results is characterized by a steep clockwise decompressional P-T segment from &gt;= 9 to &lt; 4.5 kbar. Constraints from model Nd ages provide evidence for Paleoproterozoic magmatism restricted to the Madurai block in the Southern Granulite Terrain. The early part of the crustal evolution of the Panrimalai granulites could be coeval with the Paleoproterozoic event. Subsequent development of symplectitic assemblages via near-isothermal decompression can be ascribed to a distinctly later tectonic event. Available U-Pb and Sm-Nd mineral dates suggest a widespread Pan-African tectonothermal event in the SGT. Given the general recognition of ultrahigh-temperature (UHT) and isothermal decompression (ITD) in Pan-African age metamorphism in the East-African-Antarctic Orogen (EAAO), the Panrimalai UHT history is considered to be part of this record. (c) 2006 Elsevier Ltd. All rights reserved.</t>
  </si>
  <si>
    <t>Banaras Hindu Univ, Dept Geol, Varanasi 221005, Uttar Pradesh, India; Yokohama Natl Univ, Inst Geol, Hodogaya Ku, Yokohama, Kanagawa 2408501, Japan</t>
  </si>
  <si>
    <t>Banaras Hindu University (BHU); Yokohama National University</t>
  </si>
  <si>
    <t>Prakash, D (corresponding author), Banaras Hindu Univ, Dept Geol, Varanasi 221005, Uttar Pradesh, India.</t>
  </si>
  <si>
    <t>dprakash_vns@rediffmail.com; arima@ed.ynu.ac.jp; amohanbhu@yahoo.com</t>
  </si>
  <si>
    <t>Prakash, Divya/0000-0002-1408-2671</t>
  </si>
  <si>
    <t>1367-9120</t>
  </si>
  <si>
    <t>1878-5786</t>
  </si>
  <si>
    <t>J ASIAN EARTH SCI</t>
  </si>
  <si>
    <t>J. Asian Earth Sci.</t>
  </si>
  <si>
    <t>10.1016/j.jseaes.2006.01.002</t>
  </si>
  <si>
    <t>148BG</t>
  </si>
  <si>
    <t>WOS:000245048900004</t>
  </si>
  <si>
    <t>Bart, PJ; Hillenbrand, CD; Ehrmann, W; Iwai, M; Winter, D; Warny, SA</t>
  </si>
  <si>
    <t>Bart, P. J.; Hillenbrand, C. D.; Ehrmann, W.; Iwai, M.; Winter, D.; Warny, S. A.</t>
  </si>
  <si>
    <t>Are Antarctic Peninsula Ice Sheet grounding events manifest in sedimentary cycles on the adjacent continental rise?</t>
  </si>
  <si>
    <t>Antarctic Peninsula; glaciations; sedimentary cycles; grounding events; Late Miocene; Early Pliocene</t>
  </si>
  <si>
    <t>PACIFIC MARGIN; DRIFT; STRATIGRAPHY; DYNAMICS; RECORD; EXTENT</t>
  </si>
  <si>
    <t>The direct record of Late Miocene-Early Pliocene Antarctic Peninsula Ice Sheet expansions from a previously published seismostratigraphic study of the outer shelf at Ocean Drilling Program Site 1097 is compared to the glacial history we deduced from published proxy evidence within coeval sections on the adjacent continental rise. The proxies are sedimentary structures (laminated vs. massive/bioturbated facies) and clay minerals (predominantly smectite and chlorite contents) from Ocean Drilling Program Site 1095 located on the distal part of a large drift. The comparison shows that more sedimentary cycles are evident on the continental rise for three of the four diatom biozones we considered. This indicates that the continental-rise sedimentology may indeed be related to local or regional paleoenvironmental variability, including Antarctic Peninsula Ice Sheet grounding events on the adjacent outer continental shelf If correct, this would be a promising result because unlike the outer continental shelf sequences drilled thus far, the continental rise record is relatively continuous and can be dated using paleomagnetic and biostratigraphic data. However, our study also shows that no objective criteria provide direct linkages between the glacial history we deduced from the two continental rise proxies and that previously derived from the continental-shelf seismic stratigraphy. Furthermore, the two sedimentologic proxies on the continental rise do not always provide a consistent picture of glacial history when compared against each other. (c) 2006 Elsevier B.V All rights reserved.</t>
  </si>
  <si>
    <t>Louisiana State Univ, Dept Geol &amp; Geophys, Baton Rouge, LA 70803 USA; British Antarctic Survey, Cambridge CB3 0ET, England; Univ Leipzig, Inst Geol &amp; Geophys, D-04103 Leipzig, Germany; Kochi Univ, Dept Nat Environm Sci, Kochi 7808520, Japan; Univ Nebraska, Dept Geol, Lincoln, NE 68588 USA; Louisiana State Univ, Museum Nat Sci, Baton Rouge, LA 70803 USA</t>
  </si>
  <si>
    <t>Louisiana State University System; Louisiana State University; UK Research &amp; Innovation (UKRI); Natural Environment Research Council (NERC); NERC British Antarctic Survey; Leipzig University; Kochi University; University of Nebraska System; University of Nebraska Lincoln; Louisiana State University System; Louisiana State University</t>
  </si>
  <si>
    <t>Bart, PJ (corresponding author), Louisiana State Univ, Dept Geol &amp; Geophys, E-235 Howe Russel Complex, Baton Rouge, LA 70803 USA.</t>
  </si>
  <si>
    <t>pbart@geol.lsu.edu</t>
  </si>
  <si>
    <t>Warny, Sophie A/A-8226-2013</t>
  </si>
  <si>
    <t>Warny, Sophie/0000-0002-3451-040X; Iwai, Masao/0000-0001-7489-1262</t>
  </si>
  <si>
    <t>10.1016/j.margeo.2006.09.008</t>
  </si>
  <si>
    <t>136FP</t>
  </si>
  <si>
    <t>WOS:000244208300001</t>
  </si>
  <si>
    <t>Loreto, MF; Tinivella, U; Ranero, CR</t>
  </si>
  <si>
    <t>Loreto, Maria Filomena; Tinivella, Umberta; Ranero, Cesar R.</t>
  </si>
  <si>
    <t>Evidence for fluid circulation, overpressure and tectonic style along the Southern Chilean margin</t>
  </si>
  <si>
    <t>TECTONOPHYSICS</t>
  </si>
  <si>
    <t>subduction; accretion; overpressure; dewatering; back-thrust; AVO</t>
  </si>
  <si>
    <t>GAS HYDRATE; UNDERTHRUST SEDIMENTS; ACCRETIONARY COMPLEX; SEISMIC RESPONSE; THRUST BELTS; WEDGES; MECHANICS; PRESSURE; BARBADOS; EROSION</t>
  </si>
  <si>
    <t>The southern Chilean convergent margin, between 50 degrees and 57 degrees S, is shaped by the interaction of the three main plates: Antarctic, South America and Scotia. North of 53 degrees S, the convergence between Antarctic and South America plates is close to orthogonal to the continental margin strike. Here, the deformational style of the accretionary prism is mainly characterized by seaward-verging thrusts and locally by normal faults and fractures, a very limited lateral extension of prism, a very shallow dip (similar to 6 degrees) decollement, and subduction of a thick and relatively undeformed trench sedimentary sequence. South of 53 degrees S, convergence is oblique to the margin, locally, the trench sediments are proto-deformed by double vergence thrusting and the front of the prism grows through landward-verging thrusting. The decollement is sub-horizontal and deep, involving most of the sediment over the oceanic crust in the accretionary process, building a comparatively wide and thicker prism. A Bottom Simulating Reflector is present across the whole prism to the abyssal plan, suggesting the presence of gas in the sediments. The analysis of P- and S-wave velocity reflectivity sections, derived by amplitude versus offset technique (AVO), detailed velocity information and the velocity-derived sediment porosity have been integrated with the structural analysis of the accretionary prism of two selected pre-stack depth migrated seismic lines, aiming to explain the relation between fluid circulation and tectonics. Accretion along double vergence thrust faults may be associated with the presence of overpressured fluid, which decreases the effective shear stress coefficient along the main decollement and within the sediments, and modify the rheolgical properties of rocks. The presence of an adequate drainage network, represented by interconnected faults and fractures affecting the entire sedimentary sequence, can favour the escape of pore fluid toward the sea bottom, while, less permeable and not faulted sediments can favour fluid accumulations. Gravitational and tectonic dewatering, and stratigraphy could control the consolidation and the pore overpressure of sediments involved in subduction along the trench. The results of our analysis suggest the existence of a feedback between tectonic style and fluid circulation. (c) 2006 Elsevier B.V. All rights reserved.</t>
  </si>
  <si>
    <t>Ist Nazl Oceanog &amp; Geofis Sperimentale, I-34010 Trieste, Italy; Univ Parma, Dipartimento Sci Terra, I-43100 Parma, Italy; CNR, ISMAR, Sez Geol Marina, I-40131 Bologna, Italy; CSIC, ICREA, Inst Ciencia Mar, E-08003 Barcelona, Spain</t>
  </si>
  <si>
    <t>Istituto Nazionale di Oceanografia e di Geofisica Sperimentale; University of Parma; Consiglio Nazionale delle Ricerche (CNR); Istituto di Scienze Marine (ISMAR-CNR); ICREA; Consejo Superior de Investigaciones Cientificas (CSIC); CSIC - Centro Mediterraneo de Investigaciones Marinas y Ambientales (CMIMA); CSIC - Instituto de Ciencias del Mar (ICM)</t>
  </si>
  <si>
    <t>Loreto, MF (corresponding author), Ist Nazl Oceanog &amp; Geofis Sperimentale, Borgo Grotta Gigante 42C, I-34010 Trieste, Italy.</t>
  </si>
  <si>
    <t>mfloreto@ogs.trieste.it</t>
  </si>
  <si>
    <t>Tinivella, Umberta/AAF-3133-2020; Loreto, Maria Filomena/AAY-4782-2020; Ranero, Cesar/B-9165-2009; CNR, Ismar/P-1247-2014</t>
  </si>
  <si>
    <t>Tinivella, Umberta/0000-0002-1588-6452; Loreto, Maria Filomena/0000-0003-1960-8684; Ranero, Cesar/0000-0002-5204-545X; CNR, Ismar/0000-0001-5351-1486</t>
  </si>
  <si>
    <t>0040-1951</t>
  </si>
  <si>
    <t>1879-3266</t>
  </si>
  <si>
    <t>Tectonophysics</t>
  </si>
  <si>
    <t>10.1016/j.tecto.2006.09.016</t>
  </si>
  <si>
    <t>131LA</t>
  </si>
  <si>
    <t>WOS:000243869200002</t>
  </si>
  <si>
    <t>Schüller, M; Hilbig, B</t>
  </si>
  <si>
    <t>Schueller, Myriam; Hilbig, Brigitte</t>
  </si>
  <si>
    <t>Three new species of the genus Oligobregma (Polychaeta, Scalibregmatidae) from the Scotia and Weddell Seas (Antarctica)</t>
  </si>
  <si>
    <t>Antarctica; deep sea; Oligobregma; O. pseudocollare sp nov.; O. blakei sp nov.; O. quadrispinosa sp nov.</t>
  </si>
  <si>
    <t>DEEP; DIVERSITY</t>
  </si>
  <si>
    <t>Three new species of the scalibregmatid genus Oligobregma Kudenov &amp; Blake, 1978 are described from Antarctic waters. The species are best distinguished by the number and arrangement of acicular spines in anterior notopodia. While Oligobregma pseudocollare sp. nov., bears two rows of spines in the first two notopodia, spines are arranged in single rows in Oligobregma blakei sp. nov. In Oligobregma quadrispinosa sp. nov., the first four chaetigers are armed with acicular spines. The species were collected from depths between 753 and 4069 m in the Scotia and Weddell Seas. A comparison with further species of Oligobregma known from Southern Oceans is given.</t>
  </si>
  <si>
    <t>Ruhr Univ Bochum, Lehrstuhl Spezielle Zool, DZMB, CeDAMar, D-44780 Bochum, Germany</t>
  </si>
  <si>
    <t>Ruhr University Bochum</t>
  </si>
  <si>
    <t>Schüller, M (corresponding author), Ruhr Univ Bochum, Lehrstuhl Spezielle Zool, DZMB, CeDAMar, D-44780 Bochum, Germany.</t>
  </si>
  <si>
    <t>myriam.schueller@freenet.de; bhilbig@senckenberg.de</t>
  </si>
  <si>
    <t>125HQ</t>
  </si>
  <si>
    <t>WOS:000243433400002</t>
  </si>
  <si>
    <t>Buffen, A; Leventer, A; Rubin, A; Hutchins, T</t>
  </si>
  <si>
    <t>Buffen, Aron; Leventer, Amy; Rubin, Anna; Hutchins, Trisha</t>
  </si>
  <si>
    <t>Diatom assemblages in surface sediments of the northwestern Weddell Sea, Antarctic Peninsula</t>
  </si>
  <si>
    <t>Antarctica; Antarctic Peninsula; marine geology; bacillariophyceae; diatom; modern analog; paleoceanography</t>
  </si>
  <si>
    <t>MARGINAL ICE-ZONE; SOUTHERN-OCEAN SEDIMENTS; EDGE ZONE; PHYTOPLANKTON BLOOMS; MCMURDO SOUND; ATLANTIC SECTOR; PALMER-DEEP; ROSS SEA; SHELF; RECORD</t>
  </si>
  <si>
    <t>A study of 42 surface sediment samples from the northwestern Weddell Sea documents the relationship between the modem distribution of diatom assemblages and present oceanographic conditions in the region. Three diatom assemblages were identified using R-mode principal components analysis and cluster analysis, while Q-mode cluster analysis was used to distinguish two geographically distinct biofacies. Based on the relative abundance of diatom species, the biofacies of the former Larsen A Ice Shelf (LAIS) is more closely associated with a sea ice diatom assemblage, while the biofacies of the Prince Gustav Channel/Northem Peninsula (PGC/NP) is associated with two open coastal diatom assemblages. This division is consistent with variance observed in the current oceanographic setting, whereby the LAIS is generally characterized by a longer seasonal duration of sea ice coverage and lower primary productivity relative to the PGC/NP which is marked by a shorter seasonal duration of sea ice coverage and greater surface water productivity. This relationship is further reflected in the distribution of the paleoenvironmentally significant diatom species Fragilariopsis curta, Thalassiosira antarctica, and Chaetoceros subg. Hyalochaete spp. as well as in absolute abundance data. Specifically, E curta and the morphological form T antaretica T1 are representative of greater seasonal duration of sea ice coverage and lower productivity. Chaetoceros subg. Hyalochaete spp. and the morphological form T antarctica T2 are associated with decreased seasonal duration of sea ice cover and greater surface water productivity, a setting that is further reflected in high absolute diatom abundances. These findings provide a basis for future paleoceanographic work in the region, especially as studies of surface sediment diatom assemblages are vital to establishing a link between downcore diatom assemblages and those presently found in the water column. (c) 2006 Elsevier B.V. All rights reserved.</t>
  </si>
  <si>
    <t>Colgate Univ, Dept Geol, Hamilton, NY 13346 USA</t>
  </si>
  <si>
    <t>Leventer, A (corresponding author), Colgate Univ, Dept Geol, 13 Oak Dr, Hamilton, NY 13346 USA.</t>
  </si>
  <si>
    <t>aleventer@mail.colgate.edu</t>
  </si>
  <si>
    <t>Leventer, Amy/0000-0001-9401-0987</t>
  </si>
  <si>
    <t>JAN 10</t>
  </si>
  <si>
    <t>10.1016/j.marmicro.2006.07.002</t>
  </si>
  <si>
    <t>132AB</t>
  </si>
  <si>
    <t>WOS:000243913000002</t>
  </si>
  <si>
    <t>Jiang, HC; Ding, ZL; Xiong, SF</t>
  </si>
  <si>
    <t>Jiang, Hanchao; Ding, Zhongli; Xiong, Shangfa</t>
  </si>
  <si>
    <t>Magnetostratigraphy of the Neogene Sikouzi section at Guyuan, Ningxia, China</t>
  </si>
  <si>
    <t>magnetostratigraphy; lacustrine sediments; Neogene; Ningxia; China</t>
  </si>
  <si>
    <t>TIBETAN PLATEAU; MIDDLE MIOCENE; TARIM BASIN; RED BEDS; MONSOON; RECORD; MARGIN; OCEAN; MA; PALEOMAGNETISM</t>
  </si>
  <si>
    <t>The thick, widely distributed lacustrine sediments in northern China may have recorded abundant information on the Asian monsoon evolution during the Late Cenozoic. However, reconstruction of such a history with these materials has been hampered by the paucity of reliable chronological constraints. In this study, systematic paleomagnetic measurements were conducted on a well-exposed, 2880-m thick fluviolacustrine sequence on the east side of the Liupan Mountains, a relatively monsoon-sensitive region. Correlation of the resultant magnetic polarity column to the Geomagnetic Polarity Timescale (GPTS) suggests that this sequence spans a time interval of 20.13-0.07 Ma and is generally continuous. The reliability of this correlation was further supported by three lines of independent evidence: i.e. Hipparion fossils, pollen assemblages and color changes of the sediments. Measurements of redness of the sedimentary succession suggest a remarkable decrease in air temperature over northern China, which may be closely associated with the global Mid-Miocene cooling caused by the extension of the Antarctic ice sheets. This event may have had an important influence on the evolution of the Asian monsoon circulation. (c) 2006 Elsevier B.V. All rights reserved.</t>
  </si>
  <si>
    <t>Chinese Acad Sci, Inst Geol &amp; Geophys, Beijing 100029, Peoples R China</t>
  </si>
  <si>
    <t>Chinese Academy of Sciences; Institute of Geology &amp; Geophysics, CAS</t>
  </si>
  <si>
    <t>Jiang, HC (corresponding author), Chinese Acad Sci, Inst Geol &amp; Geophys, Beijing 100029, Peoples R China.</t>
  </si>
  <si>
    <t>hanchaojiang@mail.igcas.ac.cn</t>
  </si>
  <si>
    <t>Jiang, Hanchao/ABG-2653-2020</t>
  </si>
  <si>
    <t>Jiang, Hanchao/0000-0003-3391-4477</t>
  </si>
  <si>
    <t>10.1016/j.palaeo.2006.07.016</t>
  </si>
  <si>
    <t>128NH</t>
  </si>
  <si>
    <t>WOS:000243664100013</t>
  </si>
  <si>
    <t>Solomon, S; Portmann, RW; Thompson, DWJ</t>
  </si>
  <si>
    <t>Solomon, Susan; Portmann, Robert W.; Thompson, David W. J.</t>
  </si>
  <si>
    <t>Contrasts between antarctic and arctic ozone depletion</t>
  </si>
  <si>
    <t>atmosphere; chemistry; stratosphere; trend</t>
  </si>
  <si>
    <t>WINTER</t>
  </si>
  <si>
    <t>This work surveys the depth and character of ozone depletion in the Antarctic and Arctic using available long balloon-borne and ground-based records that cover multiple decades from ground-based sites. Such data reveal changes in the range of ozone values including the extremes observed as polar air passes over the stations. Antarctic ozone observations reveal widespread and massive local depletion in the heart of the ozone hole region near 18 km, frequently exceeding 90%. Although some ozone losses are apparent in the Arctic during particular years, the depth of the ozone losses in the Arctic are considerably smaller, and their occurrence is far less frequent. Many Antarctic total integrated column ozone observations in spring since approximately the 1980s show values considerably below those ever observed in earlier decades. For the Arctic, there is evidence of some spring season depletion of total ozone at particular stations, but the changes are much less pronounced compared with the range of past data. Thus, the observations demonstrate that the widespread and deep ozone depletion that characterizes the Antarctic ozone hole is a unique feature on the planet.</t>
  </si>
  <si>
    <t>NOAA, Earth Syst Res Lab, Boulder, CO 80305 USA; Colorado State Univ, Dept Atmospher Sci, Ft Collins, CO 80523 USA</t>
  </si>
  <si>
    <t>National Oceanic Atmospheric Admin (NOAA) - USA; Colorado State University</t>
  </si>
  <si>
    <t>Solomon, S (corresponding author), NOAA, Earth Syst Res Lab, 325 S Broadway, Boulder, CO 80305 USA.</t>
  </si>
  <si>
    <t>susan.solomon@noaa.gov</t>
  </si>
  <si>
    <t>Thompson, David W J/F-9627-2012; Thompson, David/C-3520-2008; Portmann, Robert W/C-4903-2009</t>
  </si>
  <si>
    <t>Thompson, David W J/0000-0002-5413-4376; Portmann, Robert W/0000-0002-0279-6087</t>
  </si>
  <si>
    <t>JAN 9</t>
  </si>
  <si>
    <t>10.1073/pnas.0604895104</t>
  </si>
  <si>
    <t>125MG</t>
  </si>
  <si>
    <t>WOS:000243445400010</t>
  </si>
  <si>
    <t>Brauer, A; Allen, JRM; Mingram, J; Dulski, P; Wulf, S; Huntley, B</t>
  </si>
  <si>
    <t>Brauer, Achim; Allen, Judy R. M.; Mingram, Jens; Dulski, Peter; Wulf, Sabine; Huntley, Brian</t>
  </si>
  <si>
    <t>Evidence for last interglacial chronology and environmental change from Southern Europe</t>
  </si>
  <si>
    <t>eemian; phase relationships; pollen; varves</t>
  </si>
  <si>
    <t>GRANDE-DI-MONTICCHIO; ATMOSPHERIC CO2; ICE CORE; CLIMATE; RECORD; MARINE; DEGLACIATION; TEMPERATURE; MONSOON; WESTERN</t>
  </si>
  <si>
    <t>Establishing phase relationships between earth-system components during periods of rapid global change is vital to understanding the underlying processes. It requires records of each component with independent and accurate chronologies. Until now, no continental record extending from the present to the penultimate glacial had such a chronology to our knowledge. Here, we present such a record from the annually laminated sediments of Lago Grande di Monticchio, southern Italy. Using this record we determine the duration (17.70 +/- 0.20 ka) and age of onset (127.20 +/- 1.60 ka B.P.) of the last interglacial, as reflected by terrestrial ecosystems. This record also reveals that the transitions at the beginning and end of the interglacial spanned only approximate to 100 and 150 years, respectively. Comparison with records of other earth-system components reveals complex leads and lags. During the penultimate deglaciation phase relationships are similar to those during the most recent deglaciation, peaks in Antarctic warming and atmospheric methane both leading Northern Hemisphere terrestrial warming. It is notable, however, that there is no evidence at Monticchio of a Younger Dryas-like oscillation during the penultimate deglaciation. Warming into the first major interstadial event after the last interglacial is characterized by markedly different phase relationships to those of the deglaciations, warming at Monticchio coinciding with Antarctic warming and leading the atmospheric methane increase. Diachroneity is seen at the end of the interglacial; several global proxies indicate progressive cooling after approximate to 115 ka B.P., whereas the main terrestrial response in the Mediterranean region is abrupt and occurs at 109.50 +/- 1.40 ka B.P.</t>
  </si>
  <si>
    <t>Univ Durham, Sch Biol &amp; Biomed Sci, Inst Ecosyst Sci, Durham DH1 3LE, England; Geoforschungszentrum Potsdam, Sect 3 3, D-14473 Potsdam, Germany</t>
  </si>
  <si>
    <t>Durham University; Helmholtz Association; Helmholtz-Center Potsdam GFZ German Research Center for Geosciences</t>
  </si>
  <si>
    <t>Huntley, B (corresponding author), Univ Durham, Sch Biol &amp; Biomed Sci, Inst Ecosyst Sci, Durham DH1 3LE, England.</t>
  </si>
  <si>
    <t>brian.huntley@durham.ac.uk</t>
  </si>
  <si>
    <t>Wulf, Sabine/C-7777-2013</t>
  </si>
  <si>
    <t>Brauer, Achim/0000-0002-6655-9451; Wulf, Sabine/0000-0003-0229-7656</t>
  </si>
  <si>
    <t>Natural Environment Research Council [NER/A/S/2001/01122] Funding Source: researchfish</t>
  </si>
  <si>
    <t>10.1073/pnas.0603321104</t>
  </si>
  <si>
    <t>WOS:000243445400011</t>
  </si>
  <si>
    <t>Hughes, GL; Rao, SS; Rao, TS</t>
  </si>
  <si>
    <t>Hughes, Gillian L.; Rao, Suhasini Subba; Rao, Tata Subba</t>
  </si>
  <si>
    <t>Statistical analysis and time-series models for minimum/maximum temperatures in the Antarctic Peninsula</t>
  </si>
  <si>
    <t>PROCEEDINGS OF THE ROYAL SOCIETY A-MATHEMATICAL PHYSICAL AND ENGINEERING SCIENCES</t>
  </si>
  <si>
    <t>Antarctic Peninsula; extreme value distributions; ozone levels; minimum/maximum temperatures; multiple regression; time-series models</t>
  </si>
  <si>
    <t>CLIMATE-CHANGE; ICE-SHEET</t>
  </si>
  <si>
    <t>It is now widely known that Antarctic air is warming faster than the rest of the world, and the Antarctic Peninsula has experienced major warming over the last 50 years. The monthly mean near surface temperature at the Faraday/Vernadsky station has increased considerably, at a rate of 0.56 degrees C per decade over the year and at 1.09 degrees C per decade over the winter. The increase is not the same over all the stations in the Antarctic region, and the increase is very significant at the Faraday/Vernadsky station. Only at this station are the minimum/maximum monthly temperatures, for the period 1951 2004, separately available, and we believe that the increase in mean surface temperature at this station is mainly due to the increases in minimum temperatures. Therefore, our object in this paper is to study the variations in the minimum/maximum temperatures using a multiple regression model with non-Gaussian correlated errors. By separately analysing the minimum and maximum temperatures, we could clearly identify the source of increase. The average temperature (usually calculated as (max+min)/2) smooths out any variation, and may not be that informative. We model the correlated errors using a linear autoregressive moving average model with innovations, which have an extreme value distribution. We describe the maximum-likelihood estimation methodology and apply this to the datasets described earlier. The methods proposed here can be widely used in other disciplines as well. Our analysis has shown that the increase in the minimum monthly temperatures is approximately 6.7 degrees C over 53 years ( 1951 2003), whereas we did not find any significant change in the maximumtemperature over the same period. We also establish a relationship between the minimum monthly temperatures and ozone levels, and use this model to obtain monthly forecasts for the year 2004 and compare it with the true values available up to December 2004.</t>
  </si>
  <si>
    <t>Univ Manchester, Sch Math, Manchester M60 1QD, Lancs, England; Texas A&amp;M Univ, College Stn, TX 77843 USA</t>
  </si>
  <si>
    <t>University of Manchester; Texas A&amp;M University System; Texas A&amp;M University College Station</t>
  </si>
  <si>
    <t>Rao, TS (corresponding author), Univ Manchester, Sch Math, Manchester M60 1QD, Lancs, England.</t>
  </si>
  <si>
    <t>tata.subbarao@manchester.ac.uk</t>
  </si>
  <si>
    <t>1364-5021</t>
  </si>
  <si>
    <t>P R SOC A</t>
  </si>
  <si>
    <t>Proc. R. Soc. A-Math. Phys. Eng. Sci.</t>
  </si>
  <si>
    <t>JAN 8</t>
  </si>
  <si>
    <t>10.1098/rspa.2006.1766</t>
  </si>
  <si>
    <t>115ZE</t>
  </si>
  <si>
    <t>WOS:000242771500012</t>
  </si>
  <si>
    <t>Helmig, D; Ganzeveld, L; Butler, T; Oltmans, SJ</t>
  </si>
  <si>
    <t>Helmig, D.; Ganzeveld, L.; Butler, T.; Oltmans, S. J.</t>
  </si>
  <si>
    <t>The role of ozone atmosphere-snow gas exchange on polar, boundary-layer tropospheric ozone - a review and sensitivity analysis</t>
  </si>
  <si>
    <t>GENERAL-CIRCULATION MODEL; DRY DEPOSITION PARAMETERIZATION; CHEMICAL-TRANSPORT MODEL; SUNRISE EXPERIMENT 1992; SPRUCE-FIR FOREST; ART. NO. 4683; SURFACE OZONE; SOUTH-POLE; PHOTOCHEMICAL PRODUCTION; ANTARCTIC SNOW</t>
  </si>
  <si>
    <t>Recent research on snowpack processes and atmosphere-snow gas exchange has demonstrated that chemical and physical interactions between the snowpack and the overlaying atmosphere have a substantial impact on the composition of the lower troposphere. These observations also imply that ozone deposition to the snowpack possibly depends on parameters including the quantity and composition of deposited trace gases, solar irradiance, snow temperature and the substrate below the snowpack. Current literature spans a remarkably wide range of ozone deposition velocities (v(dO3)); several studies even reported positive ozone fluxes out of the snow. Overall, published values range from similar to - 3&lt; v(dO3)&lt; 2 cm s(-1), although most data are within 0&lt; v(dO3)&lt; 0.2 cm s(-1). This literature reveals a high uncertainty in the parameterization and the magnitude of ozone fluxes into ( and possibly out of) snow-covered landscapes. In this study a chemistry and tracer transport model was applied to evaluate the applicability of the published vdO3 and to investigate the sensitivity of tropospheric ozone towards ozone deposition over Northern Hemisphere snow-covered land and sea-ice. Model calculations using increasing v(dO3) of 0.0, 0.01, 0.05 and 0.10 cm s(-1) resulted in general ozone sensitivities up to 20 - 30% in the Arctic surface layer, and of up to 130% local increases in selected Northern Latitude regions. The simulated ozone concentrations were compared with mean January ozone observations from 18 Arctic stations. Best agreement between the model and observations, not only in terms of absolute concentrations but also in the hourly ozone variability, was found by applying an ozone deposition velocity in the range of 0.00 - 0.01 cm s(-1), which is smaller than most literature data and also significantly lower compared to the value of 0.05 cm s(-1) that is commonly applied in large-scale atmospheric chemistry models. This sensitivity analysis demonstrates that large errors in the description of the wintertime tropospheric ozone budget stem from the uncertain magnitude of ozone deposition rates and the inability to properly parameterize ozone fluxes to snow-covered landscapes.</t>
  </si>
  <si>
    <t>Univ Colorado, Inst Arctic &amp; Alpine Res, Boulder, CO 80309 USA; Max Planck Inst Chem, Dept Atmospher Chem, D-55020 Mainz, Germany; NOAA, GMD, Boulder, CO 80303 USA</t>
  </si>
  <si>
    <t>University of Colorado System; University of Colorado Boulder; Max Planck Society; National Oceanic Atmospheric Admin (NOAA) - USA</t>
  </si>
  <si>
    <t>Helmig, D (corresponding author), Univ Colorado, Inst Arctic &amp; Alpine Res, Boulder, CO 80309 USA.</t>
  </si>
  <si>
    <t>detlev.helmig@colorado.edu</t>
  </si>
  <si>
    <t>Oltmans, Samuel/AAC-8987-2022; Butler, Tim/G-1139-2011</t>
  </si>
  <si>
    <t>JAN 5</t>
  </si>
  <si>
    <t>123YQ</t>
  </si>
  <si>
    <t>WOS:000243333700001</t>
  </si>
  <si>
    <t>Chatterjee, N; Mazumdar, AC; Bhattacharya, A; Saikia, RR</t>
  </si>
  <si>
    <t>Chatterjee, Nilanjan; Mazumdar, A. C.; Bhattacharya, A.; Saikia, R. R.</t>
  </si>
  <si>
    <t>Mesoproterozoic granulites of the Shillong-Meghalaya Plateau: Evidence of westward continuation of the Prydz Bay Pan-African suture into Northeastern India</t>
  </si>
  <si>
    <t>Shillong-Meghalaya; Prydz Bay; granulite; Northeastern India; Mesoproterozoic; Pan-African; Gondwana</t>
  </si>
  <si>
    <t>EASTERN-GHATS BELT; LOW-PRESSURE METAMORPHISM; MT-LOFTY-RANGES; RB-SR; PHASE-EQUILIBRIA; SM-ND; U-PB; STAUROLITE STABILITY; HIGH-TEMPERATURE; LARSEMANN-HILLS</t>
  </si>
  <si>
    <t>Thermo-chronologic considerations in the Australo-Antarctic domains suggest that the Prydz Bay Pan-African suture of East Antarctica continues westward into India. However. the location of the suture within Eastern India has so far been uncertain because of a lack of adequate thermo-chronological information. In this study, electron microprobe (EPMA) monazite dates and mineral paragenesis of granulite facies metapelites are reported from two areas of the Shillong-Meghalaya gneissic complex (SMGC), a crustal block located in the extreme northeast of the Indian shield close to the Australo-Antarctic block in Neoproterozoic-Cambrian paleomagnetic reconstructions of the Rodinia supercontinent. In the Garo-Goalpara Hills region, a well constrained Mesoproterozoic age of 1596 +/- 15 Ma (n = 103) is correlated with a counterclockwise pressure-teniperature path with near peak conditions of 7-8 kbar and 850 degrees C. Rare matrix monazite rims record younger ages (1032-1273 Ma). At Sonapahar region, 50 kin ESE of Garo-Goalpara Hills, homogenous monazite grains in granulite facies metapelites yield EPMA dates tightly clustered at 500 +/- 14 Ma (n = 36) irrespective of their textural setting in a well-annealed mineral matrix. In a few zoned monazite grains, the cores yield older ages of 1078 +/- 31 Ma (it = 10) and 1472 +/- 38 Ma (n = 13). The 500 Ma date corresponds with the ca. 880-480 Ma Rb-Sr dates of porphyritic granites that predominantly intruded the east-central part of the SMGC. We propose that the progressively eastward dominance Of Cambro-Ordovician ages in the SMGC indicates a Pan-African final amalgamation of the Indian plate with the Australo-Antarctic plate and a northward extension of the Prydz Bay suture through the SMGC, with the western boundary of the suture possibly located between the Garo-Goalpara Hills and Sonapahar areas. (c) 2006 Elsevier B.V. All rights reserved.</t>
  </si>
  <si>
    <t>MIT, Dept Earth Atmospher &amp; Planetary Sci, Cambridge, MA 02139 USA; Guwahati Univ, Dept Geol Sci, Assam 781014, India; Indian Inst Technol, Dept Geol &amp; Geophys, Kharagpur 721302, W Bengal, India</t>
  </si>
  <si>
    <t>Massachusetts Institute of Technology (MIT); Gauhati University; Indian Institute of Technology System (IIT System); Indian Institute of Technology (IIT) - Kharagpur</t>
  </si>
  <si>
    <t>Chatterjee, N (corresponding author), MIT, Dept Earth Atmospher &amp; Planetary Sci, Room 54-1216, Cambridge, MA 02139 USA.</t>
  </si>
  <si>
    <t>nchat@mit.edu</t>
  </si>
  <si>
    <t>Bhattacharya, Abhijit/F-4436-2010; Chatterjee, Nilanjan/J-3191-2019</t>
  </si>
  <si>
    <t>Chatterjee, Nilanjan/0000-0002-4175-5405</t>
  </si>
  <si>
    <t>10.1016/j.precamres.2006.08.011</t>
  </si>
  <si>
    <t>134PA</t>
  </si>
  <si>
    <t>WOS:000244094100001</t>
  </si>
  <si>
    <t>Baroni, M; Thiemens, MH; Delmas, RJ; Savarino, J</t>
  </si>
  <si>
    <t>Baroni, Melanie; Thiemens, Mark H.; Delmas, Robert J.; Savarino, Joel</t>
  </si>
  <si>
    <t>Mass-independent sulfur isotopic compositions in stratospheric volcanic eruptions</t>
  </si>
  <si>
    <t>ATMOSPHERIC SULFUR; FRACTIONATION; RECORDS; SNOW</t>
  </si>
  <si>
    <t>The observed mass-independent sulfur isotopic composition (Delta S-33) of volcanic sulfate from the Agung ( March 1963) and Pinatubo ( June 1991) eruptions recorded in the Antarctic snow provides a mechanism for documenting stratospheric events. The sign of Delta S-33 changes over time from an initial positive component to a negative value. Delta S-33 is created during photochemical oxidation of sulfur dioxide to sulfuric acid on a monthly time scale, which indicates a fast process. The reproducibility of the results reveals that Delta S-33 is a reliable tracer to chemically identify atmospheric processes involved during stratospheric volcanism.</t>
  </si>
  <si>
    <t>Univ Grenoble 1, CNRS, Lab Glaciol &amp; Geophys Environm, F-38400 St Martin Dheres, France; Univ Calif San Diego, Dept Chem &amp; Biochem, La Jolla, CA 92093 USA</t>
  </si>
  <si>
    <t>Communaute Universite Grenoble Alpes; Universite Grenoble Alpes (UGA); Centre National de la Recherche Scientifique (CNRS); University of California System; University of California San Diego</t>
  </si>
  <si>
    <t>Savarino, J (corresponding author), Univ Grenoble 1, CNRS, Lab Glaciol &amp; Geophys Environm, F-38400 St Martin Dheres, France.</t>
  </si>
  <si>
    <t>jsavarino@lgge.obs.ujf-grenoble.fr</t>
  </si>
  <si>
    <t>10.1126/science.1131754</t>
  </si>
  <si>
    <t>122WU</t>
  </si>
  <si>
    <t>WOS:000243259100040</t>
  </si>
  <si>
    <t>Orrillo, AG; Ledesma, P; Delgado, OD; Spagna, G; Breccia, JD</t>
  </si>
  <si>
    <t>Gaston Orrillo, A.; Ledesma, Pablo; Delgado, Osvaldo D.; Spagna, Giovanni; Breccia, Javier D.</t>
  </si>
  <si>
    <t>Cold-active α-L-rhamnosidase from psychrotolerant bacteria isolated from a sub-Antarctic ecosystem</t>
  </si>
  <si>
    <t>ENZYME AND MICROBIAL TECHNOLOGY</t>
  </si>
  <si>
    <t>psychrotolerant; alpha-L-rhamnosidase; Pseudoalteromonas; Ralstonia</t>
  </si>
  <si>
    <t>ASPERGILLUS-NIGER; LOW-TEMPERATURES; SP-NOV.; PURIFICATION; ENZYMES; GLYCOSIDASES; AROMA; WINE</t>
  </si>
  <si>
    <t>Psychrotolerant bacteria obtained from sea water and alimentary tracts of benthonic organisms from the sub-Antarctic environment of Tierra del Fuego (Argentina) were screened for cold-active alpha-L-rhamnosidase production. Only 10 of a total of 140 isolates were positive for alpha-L-rhamnosidase activity as determined by a qualitative assay; and five of them showed substantial activity at 5 degrees C. Molecular identification (16S rDNA) of five selected isolates revealed that four of them were closely related to the genus Pseudoalteromonas while the other was identified as Ralstonia pickettii. The Pseudoalteromonas sp. 005NJ strain was selected for further characterization based on the higher relative alpha-L-rhamnosidase activity at 4 degrees C. It showed specific growth rates of 0.12-0.19 h(-1) in the temperature range of -1 to 8 degrees C, and the alpha-L-rhamnosidase activity was mainly intracellular. The reaction showed optimal pH and temperature values of 6 and 40 degrees C respectively and maintained 6% activity at 4 degrees C. The enzyme was found to be thermo-sensitive, presenting a half-live of 4 min at 50 degrees C. In presence of 12% (v/v) ethanol the activity decreased by approximately 48%. Cold-active alpha-L-rhamnosidase might be useful for food processing technologies. (c) 2006 Elsevier Inc. All rights reserved.</t>
  </si>
  <si>
    <t>Consejo Nacl Invest Cient &amp; Tecn, PROIMI, Planta Piloto Proc Ind Microbiol, RA-4000 San Miguel De Tucuman, Argentina; Catania Univ, Fac Agr, Dipartimento Orto Floro Arboricoltura &amp; Tecnol Ag, Grp Biotecnol Alimentari, I-95130 Catania, Italy; Univ Nacl La Pampa, Fac Ciencias Exactas &amp; Nat, Dept Quim, RA-6300 La Pampa, Argentina</t>
  </si>
  <si>
    <t>Consejo Nacional de Investigaciones Cientificas y Tecnicas (CONICET); University of Catania</t>
  </si>
  <si>
    <t>Breccia, JD (corresponding author), Consejo Nacl Invest Cient &amp; Tecn, PROIMI, Planta Piloto Proc Ind Microbiol, Av Belgrano &amp; Caseros, RA-4000 San Miguel De Tucuman, Argentina.</t>
  </si>
  <si>
    <t>javierbreecia@exactas.unlpam.edu.ar</t>
  </si>
  <si>
    <t>Orrillo, A. Gaston/0000-0002-3657-8934</t>
  </si>
  <si>
    <t>0141-0229</t>
  </si>
  <si>
    <t>1879-0909</t>
  </si>
  <si>
    <t>ENZYME MICROB TECH</t>
  </si>
  <si>
    <t>Enzyme Microb. Technol.</t>
  </si>
  <si>
    <t>JAN 4</t>
  </si>
  <si>
    <t>10.1016/j.enzmictec.2006.04.002</t>
  </si>
  <si>
    <t>Biotechnology &amp; Applied Microbiology</t>
  </si>
  <si>
    <t>127RH</t>
  </si>
  <si>
    <t>WOS:000243603500007</t>
  </si>
  <si>
    <t>Benoit, JB; Lopez-Martinez, G; Elnitsky, MA; Lee, RE; Denlinger, DL</t>
  </si>
  <si>
    <t>Benoit, Joshua B.; Lopez-Martinez, Giancarlo; Elnitsky, Micael A.; Lee, Richard E., Jr.; Denlinger, David L.</t>
  </si>
  <si>
    <t>Moist habitats are essential for adults of the Antarctic midge, Belgica antarctica (Diptera: Chironomidae), to avoid dehydration</t>
  </si>
  <si>
    <t>EUROPEAN JOURNAL OF ENTOMOLOGY</t>
  </si>
  <si>
    <t>Antarctica; polar insect; dehydration; water balance; midge; Chironomidae; Belgica antarctica</t>
  </si>
  <si>
    <t>WATER-BALANCE; TOLERANCE; VARIABILITY; DROSOPHILA; STRESS; INSECT; BEETLE; LARVAE; VAPOR</t>
  </si>
  <si>
    <t>Desiccation resistance of adult males and females of the midge, Belgica antarctica (Diptera: Chironomidae) was evaluated to determine how this short-lived stage maintains water balance in the dry Antarctic environment. Both sexes had slightly lower water content (approximate to 60%) and a higher dehydration tolerance (&gt; 30% water loss) than most other insects. Water loss rates were high and increased rapidly at temperatures above 15 degrees C, indicating that the adult midges are more hygric than many other polar terrestrial arthropods. Water gain was accomplished by free water uptake with minimal or no contribution from absorption of water vapor or metabolic water production. Parameters related to water balance did not differ among populations from different islands. Overall, the high water requirements of the adult midge appear to be a significant challenge and presumably dictate that the adult midges must emerge during the brief period when free water is readily available and seek protected microhabitats that facilitate water retention.</t>
  </si>
  <si>
    <t>Benoit, JB (corresponding author), Ohio State Univ, Dept Entomol, 1735 Neil Ave, Columbus, OH 43210 USA.</t>
  </si>
  <si>
    <t>CZECH ACAD SCI, INST ENTOMOLOGY</t>
  </si>
  <si>
    <t>CESKE BUDEJOVICE</t>
  </si>
  <si>
    <t>BRANISOVSKA 31, CESKE BUDEJOVICE 370 05, CZECH REPUBLIC</t>
  </si>
  <si>
    <t>1802-8829</t>
  </si>
  <si>
    <t>EUR J ENTOMOL</t>
  </si>
  <si>
    <t>Eur. J. Entomol.</t>
  </si>
  <si>
    <t>JAN 3</t>
  </si>
  <si>
    <t>10.14411/eje.2007.002</t>
  </si>
  <si>
    <t>Entomology</t>
  </si>
  <si>
    <t>120IB</t>
  </si>
  <si>
    <t>WOS:000243077100002</t>
  </si>
  <si>
    <t>Gassó, S; Stein, AF</t>
  </si>
  <si>
    <t>Gasso, Santiago; Stein, Ariel F.</t>
  </si>
  <si>
    <t>Does dust from Patagonia reach the sub-Antarctic Atlantic ocean?</t>
  </si>
  <si>
    <t>SOUTHERN-OCEAN; IRON; ARGENTINA; AEROSOLS; CLIMATE; CYCLES; SYSTEM; MODIS</t>
  </si>
  <si>
    <t>Although emission of dust from the Patagonia desert is shown by global aerosol models, there is conflicting observational evidence of dust activity in the region. Because dust from Patagonia into the Southern Ocean ( SO) may play a role in regulating phytoplankton activity, it is necessary to confirm whether there is dust activity and if so, how far the dust travels into the SO. We used a combination of surface visibility, satellite measurements ( MODIS and OMI) and transport model (HYSPLIT) to track and report for the first time a dust event originating in Patagonia. We show that the dust reached the free troposphere in the Sub-Antarctic Atlantic Ocean. Although the dust emission was significant, cloudiness and dilution of the plume resulted in difficult conditions to track dust in the SW Atlantic. We show that the use of any single tool (i.e., MODIS or OMI) is not enough to track the dust and only an integrated approach of satellite and modeling tools can achieve a consistent description. As a result, current platforms used for dust detection are probably underestimating aerosol loading in the area.</t>
  </si>
  <si>
    <t>Univ Maryland Baltimore Cty, Goddard Earth Sci &amp; Technol Ctr, Baltimore, MD 21228 USA; Earth Resources &amp; Technol, Jessup, MD USA</t>
  </si>
  <si>
    <t>National Aeronautics &amp; Space Administration (NASA); NASA Goddard Space Flight Center; University System of Maryland; University of Maryland Baltimore County; Earth Resources Technology Inc</t>
  </si>
  <si>
    <t>Gassó, S (corresponding author), NASA, Goddard Space Flight Ctr, Greenbelt, MD 20771 USA.</t>
  </si>
  <si>
    <t>santiago@climate.gsfc.nasa.gov</t>
  </si>
  <si>
    <t>Stein, Ariel F/L-9724-2014; Stein, Ariel/G-1330-2012; Gasso, Santiago/H-9571-2014</t>
  </si>
  <si>
    <t>Stein, Ariel F/0000-0002-9560-9198; Gasso, Santiago/0000-0002-6872-0018</t>
  </si>
  <si>
    <t>L01801</t>
  </si>
  <si>
    <t>10.1029/2006GL027693</t>
  </si>
  <si>
    <t>124ER</t>
  </si>
  <si>
    <t>WOS:000243350800003</t>
  </si>
  <si>
    <t>Epchtein, N</t>
  </si>
  <si>
    <t>Epchtein, N; Candidi, M</t>
  </si>
  <si>
    <t>Epchtein, N.</t>
  </si>
  <si>
    <t>Arena: Toward a european astronomical facility at dome c concordia</t>
  </si>
  <si>
    <t>1st ARENA Conference on Large Astronomical Infrastructures at CONCORDIA, Prospects and Constraints for Antarctic Optical/IR Astronomy</t>
  </si>
  <si>
    <t>EAS PUBLICATIONS SERIES</t>
  </si>
  <si>
    <t>1st ARENA Conference on Large Astronomical Infrastructures at CONCORDIA, Prospects and Constraints for Antarctic Optical/ IR Astronomy</t>
  </si>
  <si>
    <t>OCT 16-19, 2006</t>
  </si>
  <si>
    <t>Roscoff, FRANCE</t>
  </si>
  <si>
    <t>Opening talk of the Conference and acknowledgments.</t>
  </si>
  <si>
    <t>UNSA, ARENA Network, CNRS, LUAN, F-06108 Nice 2, France</t>
  </si>
  <si>
    <t>Universite Cote d'Azur; Centre National de la Recherche Scientifique (CNRS)</t>
  </si>
  <si>
    <t>Epchtein, N (corresponding author), UNSA, ARENA Network, CNRS, LUAN, Parc Valrose, F-06108 Nice 2, France.</t>
  </si>
  <si>
    <t>E D P SCIENCES</t>
  </si>
  <si>
    <t>CEDEX A</t>
  </si>
  <si>
    <t>17 AVE DU HOGGAR PARC D ACTIVITES COUTABOEUF BP 112, F-91944 CEDEX A, FRANCE</t>
  </si>
  <si>
    <t>1633-4760</t>
  </si>
  <si>
    <t>978-2-7598-0017-9</t>
  </si>
  <si>
    <t>EAS PUBLICATIONS</t>
  </si>
  <si>
    <t>10.1051/eas:2007063</t>
  </si>
  <si>
    <t>BGN51</t>
  </si>
  <si>
    <t>WOS:000248621600001</t>
  </si>
  <si>
    <t>Godon, P; Jugie, G; Frenot, Y; Cucinotta, A</t>
  </si>
  <si>
    <t>Godon, P.; Jugie, G.; Frenot, Y.; Cucinotta, A.</t>
  </si>
  <si>
    <t>Concordia: The new permanent research support facility on the antarctic plateau</t>
  </si>
  <si>
    <t>1ST ARENA CONFERENCE ON LARGE ASTRONOMICAL INFRASTRUCTURES AT CONCORDIA, PROSPECTS AND CONSTRAINTS FOR ANTARCTIC OPTICAL/IR ASTRONOMY</t>
  </si>
  <si>
    <t>EAS Publications Series</t>
  </si>
  <si>
    <t>Concordia has been the third permanent station inland the Antarctic continent since February 2005. It was built jointly by France and Italy in order to offer to the scientific community a platform for research on the antarctic plateau, high in altitude. After the very successful drilling programme EPICA at Dome C, an European project gathering 10 countries and offering the oldest accurate climate archive, many other field of science will benefit from the exceptional properties of the site, namely astronomical researches. This paper provides information on these properties and on the current facilities in terms of building and transport. In addition, it points out the environmental protection and waste management in force at Concordia, in agreement with the Antarctic Treaty and Madrid Protocol.</t>
  </si>
  <si>
    <t>[Godon, P.; Jugie, G.; Frenot, Y.] Inst Polaire Francais Paul Emile Victor, Technopole Brest Iroise,BP 75, F-29280 Plouzane, France; [Cucinotta, A.] Consorzio Lattuazione Programma Nazionale Ricerch, I-00060 Rome, Italy</t>
  </si>
  <si>
    <t>Godon, P (corresponding author), Inst Polaire Francais Paul Emile Victor, Technopole Brest Iroise,BP 75, F-29280 Plouzane, France.</t>
  </si>
  <si>
    <t>10.1051/eas:2007064</t>
  </si>
  <si>
    <t>WOS:000248621600002</t>
  </si>
  <si>
    <t>Candidi, M</t>
  </si>
  <si>
    <t>Candidi, M.</t>
  </si>
  <si>
    <t>Astronomy from concordia in the general framework of SCAR</t>
  </si>
  <si>
    <t>The importance of CONCORDIA as a perspective site for Antarctic astronomy is being increasingly considered both by the scientists and the managers of Antarctic research. The data available indicate that this may be the best site on Earth, and under some respects even better than space, at least in some observational bands. Further site testing is needed to make this a generally held opinion. Still, operations from CONCORDIA need to be planned immediately. SCAR recognises the enormous potential of CONCORDIA, and of the Antarctic plateau in general; so much so that it encourages the international astronomical community to identify a Scientific Research Program in Antarctic astronomy and astrophysics to be considered by the national delegates at its next general assembly in 2008. The role of ARENA in the preparation of this proposal should be as relevant as the quality of the site suggests.</t>
  </si>
  <si>
    <t>INAF, I-00153 Rome, Italy</t>
  </si>
  <si>
    <t>Istituto Nazionale Astrofisica (INAF)</t>
  </si>
  <si>
    <t>Candidi, M (corresponding author), INAF, Via Fosso Cavaliere 100, I-00153 Rome, Italy.</t>
  </si>
  <si>
    <t>10.1051/eas:2007065</t>
  </si>
  <si>
    <t>WOS:000248621600003</t>
  </si>
  <si>
    <t>Fossat, E</t>
  </si>
  <si>
    <t>Fossat, E.</t>
  </si>
  <si>
    <t>Stella Antarctica an IPY programme towards an international astronomical observatory at Dome C, Antarctica</t>
  </si>
  <si>
    <t>This paper describes STELLA ANTARCTICA, one of the two astronomical projects sponsored by the International Polar Year.</t>
  </si>
  <si>
    <t>Univ Nice Sophia Antipolis, LUAN, F-06108 Nice 2, France</t>
  </si>
  <si>
    <t>Universite Cote d'Azur</t>
  </si>
  <si>
    <t>Fossat, E (corresponding author), Univ Nice Sophia Antipolis, LUAN, Parc Valrose, F-06108 Nice 2, France.</t>
  </si>
  <si>
    <t>Masciadri, Elena/AAC-5611-2021; Busso, Maurizio Maria/K-7075-2015; Abia Ladron De Guevara, Carlos Antonio/O-9585-2017</t>
  </si>
  <si>
    <t>Masciadri, Elena/0000-0002-0450-4092; Busso, Maurizio Maria/0000-0001-8944-5820; de Bernardis, Paolo/0000-0001-6547-6446; Abia Ladron De Guevara, Carlos Antonio/0000-0002-5665-2716</t>
  </si>
  <si>
    <t>10.1051/eas:2007066</t>
  </si>
  <si>
    <t>WOS:000248621600004</t>
  </si>
  <si>
    <t>Vernin, J; Agabi, A; Aristidi, E; Azouit, M; Chadid, M; Fossat, E; Sadibekova, T; Trinquet, H; Ziad, A</t>
  </si>
  <si>
    <t>Vernin, J.; Agabi, A.; Aristidi, E.; Azouit, M.; Chadid, M.; Fossat, E.; Sadibekova, T.; Trinquet, H.; Ziad, A.</t>
  </si>
  <si>
    <t>History, present status &amp; future of site testing at Dome C</t>
  </si>
  <si>
    <t>ANTARCTICA</t>
  </si>
  <si>
    <t>Hereafter we give a brief history of our contribution to astronomical site testing in Antarctica, at least for the high angular resolution in the visible range. The decision to undertake the first site testing at South Pole began one year after a congress organized by French Academie des Sciences, in year 1992. Indeed, in 1993 a meeting took place in Chicago with the participation of Peter Gillingham, Al Harper and Jean Vernin where each one took the respective responsibility of 1) giving a PhD student, 2) the South Pole infrastructure and 3) the relevant instruments. During winter 1995, thanks to a mast equipped with micro-thermal sensors, we demonstrated (Marks et al. 1996) that the first 30 m of the surface layer was disrupted by strong optical turbulence. Then, the year after, 15 balloons equipped with micro-thermal, probes were successfully launched from South Pole. Marks et al. (1999) shown that most of the optical turbulence at South Pole was concentrated within a layer 200 m thick above the ice level. From this study, it becomes clear that the noticeable katabatic wind present at South Pole was generating this huge surface layer and that is why we oriented our astronomical site characterization toward Dome C.</t>
  </si>
  <si>
    <t>Univ Nice Sophia Antipolis, LUAN, UMR 6525, F-06108 Nice 1, France</t>
  </si>
  <si>
    <t>Vernin, J (corresponding author), Univ Nice Sophia Antipolis, LUAN, UMR 6525, F-06108 Nice 1, France.</t>
  </si>
  <si>
    <t>Sadibekova, Tatyana/ABI-6414-2020</t>
  </si>
  <si>
    <t>Sadibekova, Tatyana/0000-0002-5162-4222; Aristidi, Eric/0000-0001-9886-7670; Vernin, Jean/0000-0002-8956-8844</t>
  </si>
  <si>
    <t>10.1051/eas:2007067</t>
  </si>
  <si>
    <t>WOS:000248621600005</t>
  </si>
  <si>
    <t>Lawrence, JS; Ashley, MCB; Bonner, CS; Bradley, S; Luong-Van, D; Storey, JWV</t>
  </si>
  <si>
    <t>Lawrence, J. S.; Ashley, M. C. B.; Bonner, C. S.; Bradley, S.; Luong-Van, D.; Storey, J. W. V.</t>
  </si>
  <si>
    <t>Characterisation of the Dome C atmospheric boundary layer turbulence with a non-Doppler Acoustic Radar</t>
  </si>
  <si>
    <t>The Antarctic plateau has superb astronomical seeing above a turbulent boundary layer. This layer has a thickness of between tens of metres and a few hundred metres, depending on the site. We are developing a sonic radar, SNODAR, to measure the turbulence in the boundary layer from 10 to 50 m, and, in particular, to measure the height of the boundary layer to an accuracy of I m. Commercial sonic radars typically have a lower limit of about 10 m, and have 10 m range bins. The results from SNODAR should allow a confident assessment of the height at which one must mount a telescope in order to realise the superb free atmosphere seeing from the Antarctic plateau, which has been measured at Dome C to be 0.27 arcsecs on average, and better than 0.15 arcsecs for 25% of the time.</t>
  </si>
  <si>
    <t>[Lawrence, J. S.; Ashley, M. C. B.; Bonner, C. S.; Luong-Van, D.; Storey, J. W. V.] Univ New S Wales, Sch Phys, Sydney, NSW 2052, Australia; [Bradley, S.] Univ Auckland, Fac Sci, Auckland, New Zealand</t>
  </si>
  <si>
    <t>University of New South Wales Sydney; University of Auckland</t>
  </si>
  <si>
    <t>Lawrence, JS (corresponding author), Univ New S Wales, Sch Phys, Sydney, NSW 2052, Australia.</t>
  </si>
  <si>
    <t>jl@phys.unsw.edu.au</t>
  </si>
  <si>
    <t>Ashley, Michael/0000-0003-1412-2028; Bradley, Stuart/0000-0003-4441-7791; Lawrence, Jon/0000-0002-6998-6993</t>
  </si>
  <si>
    <t>10.1051/eas:2007068</t>
  </si>
  <si>
    <t>WOS:000248621600006</t>
  </si>
  <si>
    <t>Moore, A; Aristidi, E; Ashley, M; Briguglio, R; Busso, M; Candidi, M; Everett, J; Kenyon, S; Lawrence, J; Le Roux, B; Luong-Van, D; Phillips, A; Ragazzoni, R; Salinari, P; Storey, J; Taylor, M; Tosti, G; Travouillon, T</t>
  </si>
  <si>
    <t>Moore, A.; Aristidi, E.; Ashley, M.; Briguglio, R.; Busso, M.; Candidi, M.; Everett, J.; Kenyon, S.; Lawrence, J.; Le Roux, B.; Luong-Van, D.; Phillips, A.; Ragazzoni, R.; Salinari, P.; Storey, J.; Taylor, M.; Tosti, G.; Travouillon, T.</t>
  </si>
  <si>
    <t>The Gattini cameras for optical sky brightness measurements at Dome C, Antarctica</t>
  </si>
  <si>
    <t>TELESCOPE</t>
  </si>
  <si>
    <t>The Gattini cameras are two site testing instruments for the measurement of optical sky brightness, large area cloud cover and auroral detection of the night sky above the high altitude Dome C site in Antarctica. The cameras have been operating since installation in January 2006, and are currently at the end of the first Antarctic winter season. The cameras are transit in nature and are virtually identical, both adopting Apogee Alta CCD detectors. By taking frequent images of the night sky we obtain long term cloud cover statistics, measure the sky background intensity as a function of solar and lunar altitude and phase and directly measure the spatial extent of bright aurora if present and when they occur. The full data set will return in December 2006 however a limited amount of data has been transferred via the Iridium network enabling preliminary data reduction and system evaluation. An update of the project is presented together with preliminary results from data taken since commencement of the winter season.</t>
  </si>
  <si>
    <t>[Moore, A.; Travouillon, T.] CALTECH, Pasadena, CA 91106 USA; [Aristidi, E.] Univ Nice, LUAN, F-06108 Nice, France; [Ashley, M.; Everett, J.; Kenyon, S.; Lawrence, J.; Luong-Van, D.; Phillips, A.; Storey, J.; Taylor, M.] Univ New South Wales, Sch Phys, Sydney, NSW 2052, Australia; [Briguglio, R.] Univ Roma La Sapienza, Dipartimento Fis, I-00185 Rome, Italy; [Busso, M.] Univ Perugia, Dipartimento Fis, I-06123 Perugia, Italy; [Candidi, M.] CNR, Ist Fis Spazio, Rome, Italy; [Candidi, M.] ENEA, Programma Nazl Ric Antartide, Rome, Italy; [Le Roux, B.] Observ Astron Marseille, F-13248 Marseille, France; [Ragazzoni, R.] INAF Osservatorio Astron Padova, I-35122 Padua, Italy; [Salinari, P.] INAF Osservatorio Astrofis Arcetri, I-50125 Florence, Italy</t>
  </si>
  <si>
    <t>California Institute of Technology; Universite Cote d'Azur; University of New South Wales Sydney; Sapienza University Rome; University of Perugia; Consiglio Nazionale delle Ricerche (CNR); Italian National Agency New Technical Energy &amp; Sustainable Economics Development; Aix-Marseille Universite; Istituto Nazionale Astrofisica (INAF); Istituto Nazionale Astrofisica (INAF)</t>
  </si>
  <si>
    <t>Moore, A (corresponding author), CALTECH, Pasadena, CA 91106 USA.</t>
  </si>
  <si>
    <t>amoore@astro.caltech.edu</t>
  </si>
  <si>
    <t>Tosti, Gino/E-9976-2013; Busso, Maurizio Maria/K-7075-2015</t>
  </si>
  <si>
    <t>Tosti, Gino/0000-0002-0839-4126; Aristidi, Eric/0000-0001-9886-7670; Moore, Anna/0000-0002-2894-6936; Ashley, Michael/0000-0003-1412-2028; Lawrence, Jon/0000-0002-6998-6993; Travouillon, Tony/0000-0001-9304-6718; Busso, Maurizio Maria/0000-0001-8944-5820; Ragazzoni, Roberto/0000-0002-7697-5555; Briguglio, Runa/0000-0002-0495-0543</t>
  </si>
  <si>
    <t>PNRA (Programma Nazionale di Ricerche in Anatartide); IPEV (Institut Polaire Francais Paul Emile Victor); PNRA staff assistance at the Concordia station; National Science Foundation; Australian Antarctic Division</t>
  </si>
  <si>
    <t>PNRA (Programma Nazionale di Ricerche in Anatartide); IPEV (Institut Polaire Francais Paul Emile Victor); PNRA staff assistance at the Concordia station; National Science Foundation(National Science Foundation (NSF)); Australian Antarctic Division</t>
  </si>
  <si>
    <t>The Gattini team would like to thank greatly the following institutions for their continued support of the Gattini projects: (1) PNRA (Programma Nazionale di Ricerche in Anatartide): (2) IPEV (Institut Polaire Francais Paul Emile Victor) and PNRA staff assistance at the Concordia station: (3) the National Science Foundation for supply of an Iridium card and logistical assistance and: (4) the Australian Antarctic Division.</t>
  </si>
  <si>
    <t>10.1051/eas:2007069</t>
  </si>
  <si>
    <t>WOS:000248621600007</t>
  </si>
  <si>
    <t>Swain, M</t>
  </si>
  <si>
    <t>Swain, M.</t>
  </si>
  <si>
    <t>Modeling results and implications for astronomy at Dome C</t>
  </si>
  <si>
    <t>Modeling of astronomically important atmospheric parameters, and the impact these parameters have on instrument performance, is a powerful tool for assessing the astronomical potential of Antarctic sites. This paper summarizes some of the significant findings from a combination of regional climate modeling and adaptive optics simulations. Together with estimates of the sky background, this work strongly implies that the unique astronomical potential of Dome C work that can be done at no other location - is high angular resolution science. In particular, the simulations show that diffraction limited resolution in the optical is possible with a modest AO system deployed on a telescope mounted above the Antarctic boundary layer. This potential strongly differentiates Dome C from other sites and suggests a tower-mounted, AO equipped, similar to 2.5 m class telescope, located at Dome C, could be the premier visible imaging observatory in the post-HST era.</t>
  </si>
  <si>
    <t>CALTECH, Jet Prop Lab, Pasadena, CA 91109 USA</t>
  </si>
  <si>
    <t>National Aeronautics &amp; Space Administration (NASA); NASA Jet Propulsion Laboratory (JPL); California Institute of Technology</t>
  </si>
  <si>
    <t>Swain, M (corresponding author), CALTECH, Jet Prop Lab, 4800 Oak Grove Dr, Pasadena, CA 91109 USA.</t>
  </si>
  <si>
    <t>10.1051/eas:2007070</t>
  </si>
  <si>
    <t>WOS:000248621600008</t>
  </si>
  <si>
    <t>Argentini, S; Pietroni, I; Mastrantonio, G; Viola, A; Zilitinchevich, S</t>
  </si>
  <si>
    <t>Argentini, S.; Pietroni, I.; Mastrantonio, G.; Viola, A.; Zilitinchevich, S.</t>
  </si>
  <si>
    <t>Characteristics of the night and day time atmospheric boundary layer at Dome C, Antarctica</t>
  </si>
  <si>
    <t>SUMMER; PLATEAU; SITE</t>
  </si>
  <si>
    <t>A large atmospheric field experiment STABLEDC (STudy of the Atmospheric Boundary Layer Environmental at Dome C plateau station) was held at the Franco-Italian station of Concordia at Dome C during 2004-2005. The aim of the field experiment was to study the processes occurring in the long-jived stable and the weak convective atmospheric boundary layers, observed during winter and summer respectively, and to collect the relevant parameters for the atmospheric models. We used both in situ and ground based remote sensing sensors to monitor the meteorological parameters. The thermal structure of the atmosphere and the diurnal behavior of the height of the atmospheric boundary layer, m seen by a minisodar, for a typical summer and winter day is shown. The behaviour of the surface temperature during the year evidences that, on average, the lowest surface temperatures occur in April and mid-August. Warming events were observed periodically during the winter with temperatures sometimes reaching the summer values. Average temperature profiles for each season are shown. During the winter the temperature strongly decreases in the first 100-200 m. However a detailed analysis of the potential temperature gradients evidence that generally the strongest gradients occur in a narrow layer of 10-40 m. Finally the potential to investigate the fine structure of the PBL with a high resolution minisodar, developed by ISAC/CNR, is discussed.</t>
  </si>
  <si>
    <t>[Argentini, S.; Pietroni, I.; Mastrantonio, G.; Viola, A.] CNR, ISAC, Via Fosso del Cavaliere 100, I-00133 Rome, Italy; [Pietroni, I.] Univ Siena, I-53100 Siena, Italy; [Zilitinchevich, S.] Univ Helsinki, Div Atmospher Sci, Helsinki, Finland</t>
  </si>
  <si>
    <t>Consiglio Nazionale delle Ricerche (CNR); Istituto di Scienze dell'Atmosfera e del Clima (ISAC-CNR); University of Siena; University of Helsinki</t>
  </si>
  <si>
    <t>Argentini, S (corresponding author), CNR, ISAC, Via Fosso del Cavaliere 100, I-00133 Rome, Italy.</t>
  </si>
  <si>
    <t>s.argentini@isac.cnr.it</t>
  </si>
  <si>
    <t>viola, angelo p/C-7184-2015</t>
  </si>
  <si>
    <t>ARGENTINI, STEFANIA/0000-0002-7939-0309; viola, angelo pietro/0000-0002-6545-7496</t>
  </si>
  <si>
    <t>10.1051/eas:2007071</t>
  </si>
  <si>
    <t>WOS:000248621600009</t>
  </si>
  <si>
    <t>Masciadri, E; Lascaux, F; Stoesz, J; Hagelin, S; Geissler, K</t>
  </si>
  <si>
    <t>Masciadri, E.; Lascaux, F.; Stoesz, J.; Hagelin, S.; Geissler, K.</t>
  </si>
  <si>
    <t>A different glance to the site testing above Dome C</t>
  </si>
  <si>
    <t>OPTICAL TURBULENCE</t>
  </si>
  <si>
    <t>Due to the recent interest shown by astronomers towards the Antarctic Plateau as a potential site for large astronomical facilities, we assisted in the last years to a strengthening of site testing activities in this region, particularly at Dome C. Most of the results collected so far concern meteorologic parameters and optical turbulence measurements based on different principles using different instruments. At present we have several elements indicating that, above the first 20-30 m, the quality of the optical turbulence above Dome C is better than above whatever other site in the world. The challenging question, crucial to know which kind of facilities to build on, is to establish how much better the Dome C is than a mid-latitude site. In this contribution we will provide some complementary elements and strategies of analysis aiming to answer to this question. We will try to concentrate the attention on critical points, i.e. open questions that still require explanation/attention.</t>
  </si>
  <si>
    <t>[Masciadri, E.; Lascaux, F.; Stoesz, J.; Hagelin, S.] Osserv Astrofis Arcetri, INAF, Largo E Fermi 5, I-50125 Florence, Italy; [Geissler, K.] European Southern Observ, Santiago, Chile</t>
  </si>
  <si>
    <t>Istituto Nazionale Astrofisica (INAF); European Southern Observatory</t>
  </si>
  <si>
    <t>Masciadri, E (corresponding author), Osserv Astrofis Arcetri, INAF, Largo E Fermi 5, I-50125 Florence, Italy.</t>
  </si>
  <si>
    <t>masciadri@arcetri.astro.it</t>
  </si>
  <si>
    <t>Lascaux, Franck/AAK-4581-2021; Hagelin, Susanna/AAA-2956-2021; Masciadri, Elena/AAC-5611-2021</t>
  </si>
  <si>
    <t>Hagelin, Susanna/0000-0003-3167-3016; Masciadri, Elena/0000-0002-0450-4092; Lascaux, Franck/0000-0002-0099-0740</t>
  </si>
  <si>
    <t>Marie Curie Excellence [(FOROT) -MEXT-CT-2005-023878]</t>
  </si>
  <si>
    <t>Marie Curie Excellence(European Union (EU))</t>
  </si>
  <si>
    <t>This work has been funded by the Marie Curie Excellence Grant (FOROT) -MEXT-CT-2005-023878</t>
  </si>
  <si>
    <t>10.1051/eas:2007072</t>
  </si>
  <si>
    <t>WOS:000248621600010</t>
  </si>
  <si>
    <t>Chadid, M; Vernin, J; Aristidi, E; Trinquet, H; Azouit, M; Sadibekova, T</t>
  </si>
  <si>
    <t>Chadid, M.; Vernin, J.; Aristidi, E.; Trinquet, H.; Azouit, M.; Sadibekova, T.</t>
  </si>
  <si>
    <t>Single star scidar at Dome C</t>
  </si>
  <si>
    <t>SCINTILLATION; ANTARCTICA</t>
  </si>
  <si>
    <t>Here we present the first light of the Single Star Scidar (SSS) at Dome C, during January 2005 and the first results obtained during the winter 2006. We recall the SSS principle, how it is designed to resist to very low temperatures and to be adjusted in a very simple way. No exemple of long period of observation can be given since the huge amount of data cannot be sent back to our laboratory to be offline processed, due to low data transfer available from Dome C. But, a short file is shown, which demonstrates the major contribution of the surface layer to the whole atmosphere optical turbulence. Almost 300 hours of observations have been taken successfully during winter 2006.</t>
  </si>
  <si>
    <t>Chadid, M (corresponding author), Univ Nice Sophia Antipolis, LUAN, UMR 6525, F-06108 Nice 1, France.</t>
  </si>
  <si>
    <t>10.1051/eas:2007073</t>
  </si>
  <si>
    <t>WOS:000248621600011</t>
  </si>
  <si>
    <t>Sadibekova, T; Fossat, E; Vernin, J; Agabi, A; Aristidi, E; Azouit, M; Chadid, M; Trinquet, H; Genthon, C; Krinner, G; Sarazin, M</t>
  </si>
  <si>
    <t>Sadibekova, T.; Fossat, E.; Vernin, J.; Agabi, A.; Aristidi, E.; Azouit, M.; Chadid, M.; Trinquet, H.; Genthon, C.; Krinner, G.; Sarazin, M.</t>
  </si>
  <si>
    <t>Choosing Dome C, Antarctic plateau as future astronomical observatory</t>
  </si>
  <si>
    <t>ATMOSPHERE</t>
  </si>
  <si>
    <t>In this paper we present year-round climatological analysis made from radio-sounding measurements and ECMWF Data. And we end up with a generalized conclusion (scientific aspect) from statistical results of site-testing at Concordia concerning the feasibility of the future astronomical exploitation of Dome C.</t>
  </si>
  <si>
    <t>Univ Nice Sophia Antipolis, UMR 6525, LUAN, F-06108 Nice 1, France</t>
  </si>
  <si>
    <t>Sadibekova, T (corresponding author), Univ Nice Sophia Antipolis, UMR 6525, LUAN, F-06108 Nice 1, France.</t>
  </si>
  <si>
    <t>Krinner, Gerhard/A-6450-2011; Sarazin, Marc/AAF-1273-2020; Sadibekova, Tatyana/ABI-6414-2020; Krinner, Gerhard/AAB-8837-2022</t>
  </si>
  <si>
    <t>Sarazin, Marc/0000-0002-3751-8992; Sadibekova, Tatyana/0000-0002-5162-4222; Krinner, Gerhard/0000-0002-2959-5920; Aristidi, Eric/0000-0001-9886-7670; Vernin, Jean/0000-0002-8956-8844</t>
  </si>
  <si>
    <t>10.1051/eas:2007074</t>
  </si>
  <si>
    <t>WOS:000248621600012</t>
  </si>
  <si>
    <t>Chadid, M; Vernin, J; Trinquet, H; Sierra, M; Azouit, M; Jumper, G</t>
  </si>
  <si>
    <t>Chadid, M.; Vernin, J.; Trinquet, H.; Sierra, M.; Azouit, M.; Jumper, G.</t>
  </si>
  <si>
    <t>PAIX across the HR diagram new antarctica photometer for stellar pulsation and site testing</t>
  </si>
  <si>
    <t>PAIX, acronym for Photometer AntarctIc eXtinction, is a new photometer which has just been installed at Dome C in December 2006. PAIX consists of a 40 cm telescope equipped with a KAF-0401E CCD detector. The goal is to qualify the site of Dome C and to get continuous observations for making the best from stellar pulsation studies across the HR diagram.</t>
  </si>
  <si>
    <t>Univ Nice Sophia Antipolis, LUAN, UMR 6625, F-06108 Nice 1, France</t>
  </si>
  <si>
    <t>Chadid, M (corresponding author), Univ Nice Sophia Antipolis, LUAN, UMR 6625, F-06108 Nice 1, France.</t>
  </si>
  <si>
    <t>Vernin, Jean/0000-0002-8956-8844</t>
  </si>
  <si>
    <t>10.1051/eas:2007075</t>
  </si>
  <si>
    <t>WOS:000248621600013</t>
  </si>
  <si>
    <t>Durand, G; Cadelis, L; Minier, V; Veysseire, C; Walter, C; Pierre, A; Agabi, A; Fossat, E; Jeanneaux, F</t>
  </si>
  <si>
    <t>Durand, G.; Cadelis, L.; Minier, V.; Veysseire, C.; Walter, C.; Pierre, A.; Agabi, A.; Fossat, E.; Jeanneaux, F.</t>
  </si>
  <si>
    <t>Givre: A protection againt frost deposit on polar instruments</t>
  </si>
  <si>
    <t>The CEA, in coordination with IPEV and LUAN, will prepare an experiment to study frost formation on surfaces in radiative cooling in the winter. This experiment has been shipped to be installed at Concordia before the 2007 winter period. It will be controlled from Concordia winterover personal, through PC server that will locally archive data from WEBcams and several local heat regulators. This experiment will be used to give recipes on the way to compensate with heaters the radiative cooling from the sky and maintain instrument surfaces at temperature just above icing conditions. The individual regulators proposed in this experiment will be usable as standalone ice protection systems for existing and future telescopes.</t>
  </si>
  <si>
    <t>CEA Saclay, Serv Astrophys, DAPNIA, DSM, F-91191 Gif Sur Yvette, France</t>
  </si>
  <si>
    <t>Universite Paris Saclay; CEA</t>
  </si>
  <si>
    <t>Durand, G (corresponding author), CEA Saclay, Serv Astrophys, DAPNIA, DSM, F-91191 Gif Sur Yvette, France.</t>
  </si>
  <si>
    <t>10.1051/eas:2007076</t>
  </si>
  <si>
    <t>WOS:000248621600014</t>
  </si>
  <si>
    <t>Arnaud, J; Faurobert, M; Grec, G; Renaud, C</t>
  </si>
  <si>
    <t>Arnaud, J.; Faurobert, M.; Grec, G.; Renaud, C.</t>
  </si>
  <si>
    <t>Solar coronagraphy at Dome C: Site testing and prospects</t>
  </si>
  <si>
    <t>SKY BRIGHTNESS</t>
  </si>
  <si>
    <t>Progress in our understanding of solar magnetism and activity rest to a large part on our ability to improve spatial resolution for resolving the solar surface magnetic fields fine structure. The solar corona is permeated by magnetic fields emerging from the sun and, in turn, ejects particules and magnetic field into the heliosphere. It is of prime importance to measure the coronal magnetic field to understand mechanisms at work in the corona. We explain why Dome C is expected to be an outstanding site for such observations and describe the Solar Brightness Monitor we prepare to probe sky background and aerosols levels at this site. We also discuss coronal observations Dome C could allow to obtain.</t>
  </si>
  <si>
    <t>UNSA, LUAN, UMR 6525, F-06108 Nice 02, France</t>
  </si>
  <si>
    <t>Arnaud, J (corresponding author), UNSA, LUAN, UMR 6525, F-06108 Nice 02, France.</t>
  </si>
  <si>
    <t>10.1051/eas:2007077</t>
  </si>
  <si>
    <t>WOS:000248621600015</t>
  </si>
  <si>
    <t>Beaulieu, JP</t>
  </si>
  <si>
    <t>Beaulieu, J.-P.</t>
  </si>
  <si>
    <t>Should we go to Dome C for extra solar planet searches?</t>
  </si>
  <si>
    <t>MICROLENSING EVENT; MASS</t>
  </si>
  <si>
    <t>DOME C is advocated as being currently the best astronomical site on Earth, with an excellent duty cycle, excellent seeing (provided that the instrumentation is above the similar to 30 m boundary layer), low scintillation, low infra red background. There is an opportunity for astronomy projects in the coming years at DOME C. We will review here the case for the extrasolar planet searches. Both transit and microlensing searches for extrasolar planets have a niche at DOME C, but the exact performances of such projects are strongly dependent on the true quality of the site. Transiting hot Jupiters could be efficiently detected thanks to the excellent duty cycle at DOME C. The case of hot Neptunes is not clear. Frozen 1-15 Earth mass planets are detectable with dedicated microlensing operation, either by concentrating on a high magnification events alerted by temperate sites, or a wide field imager on a 2 m class telescope to simultaneously detect and monitor microlensing events. In order to run detailed simulations of observations of these projects, we have a critical need of seeing statistics, and in particular about the behavior of the boundary layer above the ice sheet and its influence on the resulting seeing.</t>
  </si>
  <si>
    <t>Univ Paris 06, CNRS, Inst Astrophys Paris, UMR 7095, F-75014 Paris, France</t>
  </si>
  <si>
    <t>Centre National de la Recherche Scientifique (CNRS); CNRS - National Institute for Earth Sciences &amp; Astronomy (INSU); Sorbonne Universite</t>
  </si>
  <si>
    <t>Beaulieu, JP (corresponding author), Univ Paris 06, CNRS, Inst Astrophys Paris, UMR 7095, 98bis Blvd Arago, F-75014 Paris, France.</t>
  </si>
  <si>
    <t>10.1051/eas:2007078</t>
  </si>
  <si>
    <t>WOS:000248621600016</t>
  </si>
  <si>
    <t>Kurtz, DW</t>
  </si>
  <si>
    <t>Kurtz, D. W.</t>
  </si>
  <si>
    <t>Asteroseismology from Dome C</t>
  </si>
  <si>
    <t>ALPHA-CENTAURI-A; STAR HR-1217; OSCILLATIONS; PRECISION</t>
  </si>
  <si>
    <t>This paper discusses the opportunities at Dome C for both photometric and spectroscopic asteroseismology. Dome C has two great advantages in this field: the first is the high percentage of superbly photometric skies; the second is the opportunity for long runs, a necessary requirement for asteroseismology. The potential of Dome C for asteroseismology is compared with existing ground-based networks and a potential spectroscopic networks, as well as with space missions.</t>
  </si>
  <si>
    <t>Univ Cent Lancashire, Ctr Astrophys, Preston PR1 2HE, Lancs, England</t>
  </si>
  <si>
    <t>University of Central Lancashire</t>
  </si>
  <si>
    <t>Kurtz, DW (corresponding author), Univ Cent Lancashire, Ctr Astrophys, Preston PR1 2HE, Lancs, England.</t>
  </si>
  <si>
    <t>Kurtz, Donald/0000-0002-1015-3268</t>
  </si>
  <si>
    <t>10.1051/eas:2007079</t>
  </si>
  <si>
    <t>WOS:000248621600017</t>
  </si>
  <si>
    <t>Burton, MG</t>
  </si>
  <si>
    <t>Burton, M. G.</t>
  </si>
  <si>
    <t>The science case for a 2 m-class telescope at Dome C, Antarctica</t>
  </si>
  <si>
    <t>OPTICAL TELESCOPE</t>
  </si>
  <si>
    <t>Dome C, being one of the summits of the Antarctic plateau, is an exceptional site for astronomy. Its advantages over a temperate-latitude site for a wide range of observations are considerable, as well as becoming increasingly appreciated by the scientific community. We discuss what these advantages are, and some of the science possibilities they offer. They fall under four principal regimes: (i) diffraction-limited observations (i.e. lambda &gt; 3 mu m), (ii) wide-field thermal infrared observations (i.e. lambda &gt; 2.2 mu m), (iii) when observations are seeing-limited (i.e. from 0.4-3 mu m) and (iv) new windows (i.e. in the mid-IR and sub-mm). Each regime offers particular advantages over corresponding observations made from a temperate site. When more than one of these advantages applies the gains can be potent. The science possibilities are many, ranging from solar system science, such as monitoring the global climate of Mars and Venus, to the study of the distant universe, such as ultra-deep fields to probe the assembly process of galaxies and the search for the first light through thermal-IR emission from gamma ray bursters. In this paper we discuss a range of science opportunities offered by each of these regimes, making use of a 2 m-class telescope. Such a facility would serve as an essential next step in the development of Antarctic astronomy, and the far-reaching possibilities offered by larger telescopes and interferometers on the Antarctic plateau.</t>
  </si>
  <si>
    <t>Univ New S Wales, Sch Phys, Sydney, NSW 2052, Australia</t>
  </si>
  <si>
    <t>University of New South Wales Sydney</t>
  </si>
  <si>
    <t>Burton, MG (corresponding author), Univ New S Wales, Sch Phys, Sydney, NSW 2052, Australia.</t>
  </si>
  <si>
    <t>Burton, Michael/0000-0001-7289-1998</t>
  </si>
  <si>
    <t>10.1051/eas:2007080</t>
  </si>
  <si>
    <t>WOS:000248621600018</t>
  </si>
  <si>
    <t>Hook, IM</t>
  </si>
  <si>
    <t>Hook, I. M.</t>
  </si>
  <si>
    <t>Summary of the science case for an ELT</t>
  </si>
  <si>
    <t>The science case for an ELT covers a very wide range of topics from the study of exo-planets to fundamental parameters of the Universe. Here the case is summarised, and areas where an Antarctic site would provide advantages or limitations are considered. Simple scaling arguments are used to suggest that a Moderately Extremely Large Telescope (or MELT) of order 15-20 m diameter in Antarctica would be capable of carrying out some (but not all) of the observations currently envisaged for a similar to 40 m class ELT at a temperate site. It is suggested that any such Antarctic telescope should be dedicated to a small number of specific science goals, chosen to complement ELTs at temperate sites.</t>
  </si>
  <si>
    <t>Univ Oxford, Oxford OX1 3RH, England</t>
  </si>
  <si>
    <t>University of Oxford</t>
  </si>
  <si>
    <t>Hook, IM (corresponding author), Univ Oxford, Denys Wilkinson Bldg,Keble Rd, Oxford OX1 3RH, England.</t>
  </si>
  <si>
    <t>Hook, Isobel M/S-8590-2017</t>
  </si>
  <si>
    <t>Hook, Isobel M/0000-0002-2960-978X</t>
  </si>
  <si>
    <t>10.1051/eas:2007081</t>
  </si>
  <si>
    <t>WOS:000248621600019</t>
  </si>
  <si>
    <t>Guandalini, R; Busso, M</t>
  </si>
  <si>
    <t>Guandalini, R.; Busso, M.</t>
  </si>
  <si>
    <t>Infrared properties of agb stars: From existing databases to antarctic surveys</t>
  </si>
  <si>
    <t>CARBON STARS; NUCLEOSYNTHESIS; PHOTOMETRY</t>
  </si>
  <si>
    <t>We present here a study of the Infrared properties of Asymptotic Giant Branch stars (hereafter AGB) based on existing databases, mainly from space-borne experiments. Preliminary results about C and S stars are discussed, focusing on the topics for which future Infrared surveys from Antarctica will be crucial. This kind of surveys will help in making more quantitative our knowledge of the last evolutionary stages of low mass stars, especially for what concerns luminosities and mass loss.</t>
  </si>
  <si>
    <t>[Guandalini, R.; Busso, M.] Univ Perugia, Dipartimento Fis, Via A Pascoli, I-06123 Perugia, Italy</t>
  </si>
  <si>
    <t>University of Perugia</t>
  </si>
  <si>
    <t>Guandalini, R (corresponding author), Univ Perugia, Dipartimento Fis, Via A Pascoli, I-06123 Perugia, Italy.</t>
  </si>
  <si>
    <t>guandalini@fisica.unipg.it</t>
  </si>
  <si>
    <t>Busso, Maurizio Maria/K-7075-2015</t>
  </si>
  <si>
    <t>Busso, Maurizio Maria/0000-0001-8944-5820</t>
  </si>
  <si>
    <t>10.1051/eas:2007082</t>
  </si>
  <si>
    <t>WOS:000248621600020</t>
  </si>
  <si>
    <t>Bono, G; Pedicelli, S; Ferraro, I; Stetson, PB; Corsi, CE; Pulone, L; Calamida, A; Monelli, M; Buonanno, R; Chadid, M; Iannicola, G; Piersimoni, A; Primas, F; Romaniello, M</t>
  </si>
  <si>
    <t>Bono, G.; Pedicelli, S.; Ferraro, I.; Stetson, P. B.; Corsi, C. E.; Pulone, L.; Calamida, A.; Monelli, M.; Buonanno, R.; Chadid, M.; Iannicola, G.; Piersimoni, A.; Primas, F.; Romaniello, M.</t>
  </si>
  <si>
    <t>Accurate and deep wide field photometry: The stellar perspective</t>
  </si>
  <si>
    <t>PERIOD-LUMINOSITY RELATIONS; LARGE-MAGELLANIC-CLOUD; RR LYRAE VARIABLES; GLOBULAR-CLUSTERS; CLASSICAL CEPHEIDS; COLOR RELATIONS; POPULATION SYNTHESIS; EVOLUTION DATABASE; THEORETICAL-MODELS; WHITE-DWARFS</t>
  </si>
  <si>
    <t>We discuss how a wide field imager with very high spatial resolution on a relatively small telescope-but located in an observing site with very good seeing might constrain the fraction of binary stars in Galactic globular clusters. We also mention the role that the new data might play in investigating advanced evolutionary phases of lowmass stars. Moreover, we discuss the role that an Extremely Large Telescope might have on the longstanding problem of cosmic distances and stellar populations. In particular, we discuss the impact that the detection of Cepheids in galaxies at the distance of the Coma cluster and of RR Lyrae stars in galaxies at the distance of the Virgo cluster might have on the calibration of secondary distance indicators.</t>
  </si>
  <si>
    <t>Osserv Astron Roma, INAF, I-00040 Monte Porzio Catone, Italy</t>
  </si>
  <si>
    <t>Bono, G (corresponding author), Osserv Astron Roma, INAF, Via Frascati 33, I-00040 Monte Porzio Catone, Italy.</t>
  </si>
  <si>
    <t>BUONANNO, Roberto/0000-0002-8255-815X; Iannicola, Giacinto/0000-0001-9816-5484; Piersimoni, Anna Marina/0000-0002-8019-3708; Pulone, Luigi/0000-0002-5285-998X; Ferraro, Ivan/0000-0001-8514-7957</t>
  </si>
  <si>
    <t>10.1051/eas:2007083</t>
  </si>
  <si>
    <t>WOS:000248621600021</t>
  </si>
  <si>
    <t>Israël, FP</t>
  </si>
  <si>
    <t>Israel, F. P.</t>
  </si>
  <si>
    <t>Summary:: Modern views of the magellanic clouds</t>
  </si>
  <si>
    <t>Several very large surveys of stars, gas and dust in the Magellanic Clouds have resulted in publicly accessible databases that provide valuable constraints as well as starting points for basic extragalactic research from proposed facilities in Antarctica.</t>
  </si>
  <si>
    <t>Leiden Observ, NL-2300 RA Leiden, Netherlands</t>
  </si>
  <si>
    <t>Leiden University - Excl LUMC; Leiden University</t>
  </si>
  <si>
    <t>Israël, FP (corresponding author), Leiden Observ, NL-2300 RA Leiden, Netherlands.</t>
  </si>
  <si>
    <t>10.1051/eas:2007084</t>
  </si>
  <si>
    <t>WOS:000248621600022</t>
  </si>
  <si>
    <t>Brinchmann, J</t>
  </si>
  <si>
    <t>Brinchmann, J.</t>
  </si>
  <si>
    <t>Extra-galactic science from Antarctica</t>
  </si>
  <si>
    <t>DIGITAL SKY SURVEY; FIELD GALAXIES; TELESCOPE; REDSHIFTS; HISTORY; NUCLEI</t>
  </si>
  <si>
    <t>Antarctica in general, and the Antarctic plateau in particular offers significant gains for astronomical observations as detailed in this book. Here the prospects for extra-galactic astronomy from Antarctica and in particular Dome C, in the relatively near future is critically examined. It is clear that Dome C will provide a very good site for certain types of observations, and reverberation mapping of Active Galactic Nuclei, observation of transient phenomena such as supernovae and gamma-ray bursts, and wide-field thermal IR imaging of VISTA fields are very interesting topics for a modest facility at Dome C. While it is clear that Dome C promises to offer significant gains for survey astronomy in the near- and thermal-IR and has the potential to be the premier site for wide field NIR And MIR imaging surveys from the ground, I highlight the obstacles both in form of technical challenges and sky coverage.</t>
  </si>
  <si>
    <t>Univ Porto, Ctr Astrofis, P-4150762 Oporto, Portugal</t>
  </si>
  <si>
    <t>Universidade do Porto</t>
  </si>
  <si>
    <t>Brinchmann, J (corresponding author), Univ Porto, Ctr Astrofis, Rua Estrelas S-N, P-4150762 Oporto, Portugal.</t>
  </si>
  <si>
    <t>Brinchmann, Jarle/M-2616-2015</t>
  </si>
  <si>
    <t>Brinchmann, Jarle/0000-0003-4359-8797</t>
  </si>
  <si>
    <t>10.1051/eas:2007085</t>
  </si>
  <si>
    <t>WOS:000248621600023</t>
  </si>
  <si>
    <t>Burgarella, D; Ferrari, M; Fusco, T; Langlois, M; Lemaitre, G; Le Roux, B; Moretto, G; Nicole, M</t>
  </si>
  <si>
    <t>Burgarella, D.; Ferrari, M.; Fusco, T.; Langlois, M.; Lemaitre, G.; Le Roux, B.; Moretto, G.; Nicole, M.</t>
  </si>
  <si>
    <t>Wide field astronomy at Dome C: Two IR surveys complementary to SNAP</t>
  </si>
  <si>
    <t>DARK ENERGY; ANTARCTICA; TELESCOPE; GALAXIES; EXTINCTION; SUPERNOVAE; EVOLUTION; OPTICS</t>
  </si>
  <si>
    <t>Surveys provide a wealth of data to the astronomical community that are used well after their completion. In this paper, we propose a project that would take the maximum benefit of Dome C in Antarctica by performing two surveys, in the wavelength range from 1-5 mu m, complementary to SNAP space surveys. The first one over 1000 sq. deg. (1 KdF) for 4 years and the second one over 15 sq. deg (SNAP-IR) for the next 4 years at the same time as SNAP 0.35-1.7 mu m survey. By using a Ground-Layer Adaptive Optics system, we would be able to recover, at the ice level and over at least half a degree in radius, the similar to 300 mas angular resolution available above the 30-m high turbulent layer. Such a survey, combining a high angular resolution with high sensitivities in the NIR and MIR, should also play the role of a pre-survey for JWST and ALMA.</t>
  </si>
  <si>
    <t>LAM, OAMP, F-13376 Marseille 12, France</t>
  </si>
  <si>
    <t>Burgarella, D (corresponding author), LAM, OAMP, Traverse Siphon,BP 8, F-13376 Marseille 12, France.</t>
  </si>
  <si>
    <t>MORETTO, Gil/0000-0001-9864-4215; Marc, FERRARI/0000-0003-2678-7342</t>
  </si>
  <si>
    <t>10.1051/eas:2007086</t>
  </si>
  <si>
    <t>WOS:000248621600024</t>
  </si>
  <si>
    <t>Persi, P</t>
  </si>
  <si>
    <t>Persi, P.</t>
  </si>
  <si>
    <t>A search for circumstellar disks in low mass young stellar objects and young brown dwarfs</t>
  </si>
  <si>
    <t>ISOCAM OBSERVATIONS; MOLECULAR CLOUDS; DARK CLOUD; DOME-C; CHAMELEON; TAURI; ANTARCTICA; SPECTRA</t>
  </si>
  <si>
    <t>I present a key project relative to the determination of the physical. characteristics of the circumstellar disks around low mass young stellar objects (YSOs) and young brown dwarfs, that could be developed from the Antarctic Plateau at Dome Concordia station with a 2-3 m class telescope equipped with a mid-infrared camera.</t>
  </si>
  <si>
    <t>INAF, IASF Roma, Rome, Italy</t>
  </si>
  <si>
    <t>Persi, P (corresponding author), INAF, IASF Roma, Rome, Italy.</t>
  </si>
  <si>
    <t>10.1051/eas:2007087</t>
  </si>
  <si>
    <t>WOS:000248621600025</t>
  </si>
  <si>
    <t>Lanza, AF; Bonom, AS; Cutispoto, G; Busà, I; Lanzafame, AC; Messina, S; Pagano, I; Strassmeier, KG</t>
  </si>
  <si>
    <t>Lanza, A. F.; Bonom, A. S.; Cutispoto, G.; Busa, I.; Lanzafame, A. C.; Messina, S.; Pagano, I.; Strassmeier, K. G.</t>
  </si>
  <si>
    <t>Solar-like activity and planetary transits</t>
  </si>
  <si>
    <t>SYNTHETIC LIGHT CURVES; GIANT PLANETS; STARS; VARIABILITY; SUN</t>
  </si>
  <si>
    <t>Late-type MS stars display optical variability on different time scales due to the presence of photospheric brightness inhomogeneities produced by surface magnetic fields, analogous to cool spots and bright faculae observed in the Sun. We are developing methods to model the optical variability of main-sequence late-type stars to understand the impact of solar-like activity on the detection of planetary transits and to significantly improve the detection efficiency. Our techniques will also allow to map the longitude distribution of active regions on stars that harbor planets and to look for a possible connection between stellar activity and the presence of planets around a star.</t>
  </si>
  <si>
    <t>Osserv Astrofis Catania, INAF, I-95123 Catania, Italy</t>
  </si>
  <si>
    <t>Lanza, AF (corresponding author), Osserv Astrofis Catania, INAF, Via S Sofia 78, I-95123 Catania, Italy.</t>
  </si>
  <si>
    <t>Lanza, Antonino Francesco/ABB-3367-2020; Pagano, Isabella/I-6934-2015; Lanza, Antonino F/S-1011-2017; Messina, Sergio/N-6560-2018; Lanza, Antonino Francesco/AAZ-6758-2021; Busa, Innocenza/HMV-7153-2023; Lanzafame, Alessandro/A-1129-2012</t>
  </si>
  <si>
    <t>Pagano, Isabella/0000-0001-9573-4928; Messina, Sergio/0000-0002-2851-2468; Lanza, Antonino Francesco/0000-0001-5928-7251; Busa, Innocenza/0000-0003-2876-3563; Bonomo, Aldo Stefano/0000-0002-6177-198X; Lanzafame, Alessandro/0000-0002-2697-3607</t>
  </si>
  <si>
    <t>10.1051/eas:2007088</t>
  </si>
  <si>
    <t>WOS:000248621600026</t>
  </si>
  <si>
    <t>Distefano, E; Messina, S; Cutispoto, G; Parihar, PS; Comparato, M; Busá, I; Lanza, AF; Lanzafame, AC; Pagano, I; Strassmeier, KG</t>
  </si>
  <si>
    <t>Distefano, E.; Messina, S.; Cutispoto, G.; Parihar, P. S.; Comparato, M.; Busa, I.; Lanza, A. F.; Lanzafame, A. C.; Pagano, I.; Strassmeier, K. G.</t>
  </si>
  <si>
    <t>ARCO:: A program for automatic reduction of ccd observations</t>
  </si>
  <si>
    <t>TIME-SERIES ANALYSIS</t>
  </si>
  <si>
    <t>The huge amount of CCD photometric data collected by robotic telescopes (as for instance the ICE-T telescope to be installed at Dome-C) requires a fully automated approach to the reduction and analysis procedures. To this end, we are developing a pipeline, making use of IRAF, DAOPHOTII and tasks build up by us, which will enable to automatically extract differential magnitude time series. Both aperture and PSF photometry methods are used to build a proper sample of comparison stars, with the best method between the two being automatically selected. Finally, the search of rotational periods is performed. To test our package, we present results obtained using a 4-year dataset of a field in the Orion Nebula Cluster (ONC) containing about 350 stars (150 of which turned out to be periodic variables).</t>
  </si>
  <si>
    <t>Catania Astrophys Observ, INAF, I-95123 Catania, Italy</t>
  </si>
  <si>
    <t>Distefano, E (corresponding author), Catania Astrophys Observ, INAF, Via S Sofia, I-95123 Catania, Italy.</t>
  </si>
  <si>
    <t>Lanza, Antonino F/S-1011-2017; Lanza, Antonino Francesco/ABB-3367-2020; Lanza, Antonino Francesco/AAZ-6758-2021; Pagano, Isabella/I-6934-2015; Busa, Innocenza/HMV-7153-2023; Messina, Sergio/N-6560-2018; Lanzafame, Alessandro/A-1129-2012</t>
  </si>
  <si>
    <t>Lanza, Antonino Francesco/0000-0001-5928-7251; Pagano, Isabella/0000-0001-9573-4928; Busa, Innocenza/0000-0003-2876-3563; Messina, Sergio/0000-0002-2851-2468; Distefano, Elisa/0000-0002-2448-2513; Lanzafame, Alessandro/0000-0002-2697-3607</t>
  </si>
  <si>
    <t>10.1051/eas:2007089</t>
  </si>
  <si>
    <t>WOS:000248621600027</t>
  </si>
  <si>
    <t>Isern, J; García-Berro, E</t>
  </si>
  <si>
    <t>Isern, J.; Garcia-Berro, E.</t>
  </si>
  <si>
    <t>White dwarfs as astroparticle physics laboratories</t>
  </si>
  <si>
    <t>G117-B15A</t>
  </si>
  <si>
    <t>White dwarfs are well studied objects. The relative simplicity of their physics allows to obtain very detailed models which can be ultimately compared with their observed properties. Among them there is a specific class of stars, the ZZ-Ceti stars that are characterized by the extreme stability of their periods of pulsation. The rate of change of the period is closely related to the characteristic cooling time of the star, which can be accurately computed. This property not only allows to directly test the evolution of white dwarfs but also to constrain parameters of any new physical theory able to perturb the cooling regime. This technique has been successfuly aplied to the case of axions and can be used to constrain the properties of other theoretical particles. The program we propose here consists in using the ability of the Antartic plateau to perform long time and non-interrupted observations to establish the seismological properties of a well defined set of variable white dwarfs (and other stable pulsators).</t>
  </si>
  <si>
    <t>[Isern, J.] CSIC, IEEC, Inst Ciencies Espai, Campus UAB,Torre C5 Parells 2na, E-08193 Barcelona, Spain; [Garcia-Berro, E.] UPC &amp; IEEC, Dept Fis Aplicado, Barcelona, Spain</t>
  </si>
  <si>
    <t>Institut d'Estudis Espacials de Catalunya (IEEC); Autonomous University of Barcelona; Consejo Superior de Investigaciones Cientificas (CSIC); CSIC - Instituto de Ciencias del Espacio (ICE); Institut d'Estudis Espacials de Catalunya (IEEC)</t>
  </si>
  <si>
    <t>Isern, J (corresponding author), CSIC, IEEC, Inst Ciencies Espai, Campus UAB,Torre C5 Parells 2na, E-08193 Barcelona, Spain.</t>
  </si>
  <si>
    <t>Garcia-Berro, Enrique/C-8034-2014; Isern, Jordi/B-1844-2015</t>
  </si>
  <si>
    <t>Isern, Jordi/0000-0002-0819-9574</t>
  </si>
  <si>
    <t>MEC [AYA04-094-C03-01/02]; European Union FEDER funds; AGAUR</t>
  </si>
  <si>
    <t>MEC; European Union FEDER funds(European Union (EU)); AGAUR(Agencia de Gestio D'Ajuts Universitaris de Recerca Agaur (AGAUR))</t>
  </si>
  <si>
    <t>This work has been partially supported by the MEC grants AYA04-094-C03-01/02, by the European Union FEDER funds and by the AGAUR.</t>
  </si>
  <si>
    <t>10.1051/eas:2007090</t>
  </si>
  <si>
    <t>WOS:000248621600028</t>
  </si>
  <si>
    <t>Le Bertre, T; Tanaka, M; Yamamura, I; Murakami, H; MacConnell, DJ; Guertin, A</t>
  </si>
  <si>
    <t>Le Bertre, T.; Tanaka, M.; Yamamura, I.; Murakami, H.; MacConnell, D. J.; Guertin, A.</t>
  </si>
  <si>
    <t>Near-infrared spectro-photometry of carbon stars</t>
  </si>
  <si>
    <t>TELESCOPE-IN-SPACE; COOL; IRTS</t>
  </si>
  <si>
    <t>Antarctica offers probably the best ground-based conditions for observing in the 1-3 mu m region, and may thus be considered as an alternative to Space for this domain. We examine the potential of integral-field spectro-photometry over wide areas of the sky in this wavelength range for the study of carbon stars, that seems promising. On the other hand, the conditions of transparency, background, and their short-time stability from Antarctic sites still need to be evaluated.</t>
  </si>
  <si>
    <t>Observ Paris, UMR 8112, LERMA, F-75014 Paris, France</t>
  </si>
  <si>
    <t>Universite PSL; Observatoire de Paris</t>
  </si>
  <si>
    <t>Le Bertre, T (corresponding author), Observ Paris, UMR 8112, LERMA, F-75014 Paris, France.</t>
  </si>
  <si>
    <t>10.1051/eas:2007091</t>
  </si>
  <si>
    <t>WOS:000248621600029</t>
  </si>
  <si>
    <t>Epchtein, N; Le Bertre, T; Vauglin, I</t>
  </si>
  <si>
    <t>Epchtein, N.; Le Bertre, T.; Vauglin, I.</t>
  </si>
  <si>
    <t>3-5 μm deep wide field infrared imaging surveys from Dome C</t>
  </si>
  <si>
    <t>Dome C CONCORDIA is the best ground site to perform deep, large scale, diffraction limited imaging surveys in the thermal infrared, in particular in the K-d and L bands. A first iteration of a roadmap that could lead to the set up of a dedicated survey telescope (AMIDST concept) is briefly outlined.</t>
  </si>
  <si>
    <t>UNSA, CNRS, LUAN, F-06108 Nice 2, France</t>
  </si>
  <si>
    <t>Epchtein, N (corresponding author), UNSA, CNRS, LUAN, Parc Valrose, F-06108 Nice 2, France.</t>
  </si>
  <si>
    <t>10.1051/eas:2007092</t>
  </si>
  <si>
    <t>WOS:000248621600030</t>
  </si>
  <si>
    <t>Zinnecker, H; Andersen, MI; Correia, S</t>
  </si>
  <si>
    <t>Zinnecker, H.; Andersen, M. I.; Correia, S.</t>
  </si>
  <si>
    <t>The case for a 3-5 micron large-scale survey for the LMC/SMC and galactic bulge/galactic center region from Dome C in the Antarctic summer season</t>
  </si>
  <si>
    <t>We discuss our ideas how to make best use of the Antarctica Dome C site equipped with a 2.4 m infrared telescope (Hubble on the ground), including day time observations of the Magellanic Clouds in the 3 months Antarctic Summer.</t>
  </si>
  <si>
    <t>Astrophys Inst Potsdam, D-14482 Potsdam, Germany</t>
  </si>
  <si>
    <t>Zinnecker, H (corresponding author), Astrophys Inst Potsdam, Sternwarte 16, D-14482 Potsdam, Germany.</t>
  </si>
  <si>
    <t>10.1051/eas:2007093</t>
  </si>
  <si>
    <t>WOS:000248621600031</t>
  </si>
  <si>
    <t>Vauglin, I</t>
  </si>
  <si>
    <t>Vauglin, I.</t>
  </si>
  <si>
    <t>Thermal infrared observations at Dome C: A valuable extension for hyperleda</t>
  </si>
  <si>
    <t>GALAXIES</t>
  </si>
  <si>
    <t>The outstanding atmospheric conditions of the Dome C give a unique opportunity to survey the sky in the thermal infrared reaching interesting sensitivity limits for extragalactic astronomy. It will allow to survey the very obscured region of the Galactic Plane, to detect numerous Ultra-Luminous InfraRed Galaxies, a class of extremely powerful galaxies in the infrared wavelengths. The detection of individual Cepheids in nearby galaxies will be possible and will lead to eliminate a biais in the determination of the extragalactic distances scale. Our extragalactic database HyperLeda will benefit from new infrared data.</t>
  </si>
  <si>
    <t>Univ Lyon 1, Observ Lyon, CNRS, UMR 5574, F-69230 St Genis Laval, France</t>
  </si>
  <si>
    <t>Ecole Normale Superieure de Lyon (ENS de LYON); Centre National de la Recherche Scientifique (CNRS); CNRS - National Institute for Earth Sciences &amp; Astronomy (INSU); Universite Claude Bernard Lyon 1</t>
  </si>
  <si>
    <t>Vauglin, I (corresponding author), Univ Lyon 1, Observ Lyon, CNRS, UMR 5574, F-69230 St Genis Laval, France.</t>
  </si>
  <si>
    <t>10.1051/eas:2007094</t>
  </si>
  <si>
    <t>WOS:000248621600032</t>
  </si>
  <si>
    <t>Casali, M</t>
  </si>
  <si>
    <t>Casali, M.</t>
  </si>
  <si>
    <t>M. Casali : Widefield IR imaging at Dome C</t>
  </si>
  <si>
    <t>The characteristics required of a Dome-C widefield IR imaging facility in order to compete with ground and space-based telescopes are discussed. Although the K-dark filter offers an opportunity for a 2 m-class facility to compete with much larger survey telescopes, a diameter approaching 8 m together with an ambitious focal plane are required if such a facility is to be competitive with near-term space facilities in the thermal IR.</t>
  </si>
  <si>
    <t>European So Observ, D-85748 Munich, Germany</t>
  </si>
  <si>
    <t>European Southern Observatory</t>
  </si>
  <si>
    <t>Casali, M (corresponding author), European So Observ, Karl Swarzschild Str 2, D-85748 Munich, Germany.</t>
  </si>
  <si>
    <t>Casali, Massimiliano/AAK-3309-2021</t>
  </si>
  <si>
    <t>Casali, Massimiliano/0000-0003-3832-8696; Casali, Mark/0000-0001-5345-3693</t>
  </si>
  <si>
    <t>10.1051/eas:2007095</t>
  </si>
  <si>
    <t>WOS:000248621600033</t>
  </si>
  <si>
    <t>Tosti, G</t>
  </si>
  <si>
    <t>Tosti, G.</t>
  </si>
  <si>
    <t>IRAIT Collaboration</t>
  </si>
  <si>
    <t>IRAIT: A facility for IR astronomy at Dome C</t>
  </si>
  <si>
    <t>The IRAIT (International Robotic Antarctic Infrared Telescope) telescope will be the first European infrared telescope operated on the Antarctic Plateau. The main IRAIT Focal Plane Instrument is AMICA (Antarctic Multiband Infrared CAmera), a two-detector instrument designed to operate in the Near- and Mid-infrared (2-28 mu m) regions. IRAIT will start operation during the 2007-2008 Antarctic campaign, though the instrumentation will reach Antarctica one year before, at the end of 2006. It will offer a unique opportunity to test the science that can be done from Dome C (in this sense it is a precursor for larger facilities as PILOT). We briefly describe the telescope and its auxiliary equipment, and we present example of the kind of science that will be feasible with this infrared observatory of moderate size..</t>
  </si>
  <si>
    <t>Univ Perugia, Dept Phys, I-06100 Perugia, Italy</t>
  </si>
  <si>
    <t>Tosti, G (corresponding author), Univ Perugia, Dept Phys, Via A Pascoli, I-06100 Perugia, Italy.</t>
  </si>
  <si>
    <t>Tosti, Gino/E-9976-2013</t>
  </si>
  <si>
    <t>Tosti, Gino/0000-0002-0839-4126</t>
  </si>
  <si>
    <t>10.1051/eas:2007096</t>
  </si>
  <si>
    <t>WOS:000248621600034</t>
  </si>
  <si>
    <t>Straniero, O; Dolci, M; Valentini, A; Valentini, G; Di Rico, G; Ragnil, M; Giuliani, C; Di Cianno, A; Di Varano, V; Corcione, L; Bortoletto, F; D'Alessandro, M; Magrin, D; Bonoli, C; Giro, E; Fantinel, D; Zerbi, FM; Riva, A; De Caprio, V; Molinari, E; Conconi, P; Busso, M; Tosti, G; Abia, CA</t>
  </si>
  <si>
    <t>Straniero, O.; Dolci, M.; Valentini, A.; Valentini, G.; Di Rico, G.; Ragnil, M.; Giuliani, C.; Di Cianno, A.; Di Varano, V.; Corcione, L.; Bortoletto, F.; D'Alessandro, M.; Magrin, D.; Bonoli, C.; Giro, E.; Fantinel, D.; Zerbi, F. M.; Riva, A.; De Caprio, V.; Molinari, E.; Conconi, P.; Busso, M.; Tosti, G.; Abia, C. A.</t>
  </si>
  <si>
    <t>Amica: The first camera for near- and mid-infrared astronomical imaging at Dome C</t>
  </si>
  <si>
    <t>AMICA (Antarctic Multiband Infrared CAmera) is an instrument designed to perform astronomical imaging in the near- (1-5 mu m) and mid- (5-27 mu m) infrared wavelength regions. Equipped with two detectors, an InSb 256(2) and a Si:As 128(2) IBC, cooled at 35 and 7 K respectively, it will be the first instrument to investigate the potential of the Italian-French base Concordia for IR astronomy. The main technical challenge is represented by the extreme conditions of Dome C (T similar to -90 degrees C, p similar to 640 mbar). An environmental control system ensures the correct start-up, shut-down and housekeeping of the various components of the camera. AMICA will be mounted on the IRAIT telescope and will perform survey-mode observations in the Southern sky. The first task is to provide important site-quality data. Substantial contributions to the solution of fundamental astrophysical quests, such as those related to late phases of stellar evolution and to star formation processes, are also expected.</t>
  </si>
  <si>
    <t>INAF, OACTe, I-64100 Teramo, Italy</t>
  </si>
  <si>
    <t>Straniero, O (corresponding author), INAF, OACTe, Via Maggini Snc, I-64100 Teramo, Italy.</t>
  </si>
  <si>
    <t>Molinari, Emilio/GYR-1322-2022; Giro, Enrico/JGD-2364-2023; Tosti, Gino/E-9976-2013; Busso, Maurizio Maria/K-7075-2015; Abia Ladron De Guevara, Carlos Antonio/O-9585-2017</t>
  </si>
  <si>
    <t>Molinari, Emilio/0000-0002-1742-7735; Tosti, Gino/0000-0002-0839-4126; Riva, Alberto/0000-0002-6928-8589; De Caprio, Vincenzo/0000-0002-4587-8963; Di Rico, Gianluca/0000-0002-5213-8269; corcione, leonardo/0000-0002-6497-5881; Busso, Maurizio Maria/0000-0001-8944-5820; Magrin, Demetrio/0000-0003-0312-313X; d'alessandro, maurizio/0000-0002-8318-0988; Straniero, Oscar/0000-0002-5514-6125; Abia Ladron De Guevara, Carlos Antonio/0000-0002-5665-2716; Fantinel, Daniela/0000-0001-8152-9480; Dolci, Mauro/0000-0001-8000-5642; Zerbi, Filippo Maria/0000-0002-9996-973X; Giro, Enrico/0000-0001-7301-8285</t>
  </si>
  <si>
    <t>10.1051/eas:2007097</t>
  </si>
  <si>
    <t>WOS:000248621600035</t>
  </si>
  <si>
    <t>Colomé, J; Abia, C; Domínguez, I; Isern, J; Tosti, G; Busso, M; Nucciarelli, G; Roncella, F; Straniero, O; Dolci, M</t>
  </si>
  <si>
    <t>Colome, J.; Abia, C.; Dominguez, I.; Isern, J.; Tosti, G.; Busso, M.; Nucciarelli, G.; Roncella, F.; Straniero, O.; Dolci, M.</t>
  </si>
  <si>
    <t>IRAIT Collaboration Team</t>
  </si>
  <si>
    <t>Moving optical systems of IRAIT:: Design and construction</t>
  </si>
  <si>
    <t>The IRAIT (International Robotic Antarctic Infrared Telescope) project (Tosti et al. 2006) is based on a 80 cm aperture telescope to observe in the infrared range. It is due to start operations in spring 2008, several months after installation in Dome C (Antarctica). We present the contributions made to such. project by the Institute for Space Studies of Catalonia (IEEC) and the University of Granada, whose participation is mainly focused in developing the moving optical system for the secondary (M2) and tertiary (M3) mirrors of the telescope. Moving parts of the optical system provide focusing and chopping capabilities, implemented in M2, and a rotation mechanism, implemented in M3, allow observation in either Nasmyth foci. The work package includes the design and construction of both mirrors, the mechanical supports, the electronics and the control software, all prepared to work at the low temperatures at Antarctica. A Spanish company, NTE, was contracted to carry out the design and manufacture. Tests at low temperature and integration in the telescope have been done during summer 2006.</t>
  </si>
  <si>
    <t>IEEC, Barcelona, Spain</t>
  </si>
  <si>
    <t>Institut d'Estudis Espacials de Catalunya (IEEC); University of Barcelona</t>
  </si>
  <si>
    <t>Colomé, J (corresponding author), IEEC, Barcelona, Spain.</t>
  </si>
  <si>
    <t>Tosti, Gino/E-9976-2013; Busso, Maurizio Maria/K-7075-2015; Abia Ladron De Guevara, Carlos Antonio/O-9585-2017; Isern, Jordi/B-1844-2015</t>
  </si>
  <si>
    <t>Tosti, Gino/0000-0002-0839-4126; Busso, Maurizio Maria/0000-0001-8944-5820; Abia Ladron De Guevara, Carlos Antonio/0000-0002-5665-2716; Isern, Jordi/0000-0002-0819-9574; Straniero, Oscar/0000-0002-5514-6125; Dolci, Mauro/0000-0001-8000-5642</t>
  </si>
  <si>
    <t>10.1051/eas:2007098</t>
  </si>
  <si>
    <t>WOS:000248621600036</t>
  </si>
  <si>
    <t>Fressin, F; Guillot, T; Schmider, FX; Agabi, A; Moutou, C; Aigrain, S; Bouchy, F; Boer, M; Pont, F; Erikson, A; Rauer, H</t>
  </si>
  <si>
    <t>Fressin, F.; Guillot, T.; Schmider, F.-X.; Agabi, A.; Moutou, C.; Aigrain, S.; Bouchy, F.; Boer, M.; Pont, F.; Erikson, A.; Rauer, H.</t>
  </si>
  <si>
    <t>STEP Team</t>
  </si>
  <si>
    <t>A step: Towards a large photometric survey for exoplanets at Dome C</t>
  </si>
  <si>
    <t>GIANT PLANETS; TRANSIT; ANTARCTICA; SEARCH; STARS</t>
  </si>
  <si>
    <t>We present A STEP (Antarctica Search for Transiting Extrasolar Planets), a project dedicated to the search for planetary transits from Antartica. The project consists of a semi-automatic similar to 40 cm telescope equipped with a 16-million-pixel CCD installed at Dome C. The site offers crucial assets for a ground-based exoplanet transit search: uninterrupted phase coverage, excellent weather, low air-mass variations and reduced scintillation. This system would be able to detect Pegasids transiting in front of stars as faint as magnitude sixteen and could also detect smaller planets in close-in period around brighter stars. This short term project is meant to be a photometric qualifyer for the site and the first stage of a massive detection campaign. A mid-term objective of 1000 detections for 2012 could be achieved either with many small telescopes or with a large Schmidt telescope with a large field of view. The project is relatively simple and cost-effective, and has the double purpose of qualifying the site and obtaining first-class scientific results. Our team is already familiar with transit detection with an automated telescope and cold temperature qualification.</t>
  </si>
  <si>
    <t>Observ Cote dAzur, Nice, France</t>
  </si>
  <si>
    <t>Universite Cote d'Azur; Observatoire de la Cote d'Azur</t>
  </si>
  <si>
    <t>Fressin, F (corresponding author), Observ Cote dAzur, Nice, France.</t>
  </si>
  <si>
    <t>Boer, Michel/Q-4428-2019; Schmider, François-Xavier/C-5435-2012</t>
  </si>
  <si>
    <t>Boer, Michel/0000-0001-9157-4349; Pont, Frederic/0000-0003-0076-5444; Guillot, Tristan/0000-0002-7188-8428</t>
  </si>
  <si>
    <t>10.1051/eas:2007099</t>
  </si>
  <si>
    <t>WOS:000248621600037</t>
  </si>
  <si>
    <t>Strassmeier, KG</t>
  </si>
  <si>
    <t>Strassmeier, K. G.</t>
  </si>
  <si>
    <t>Ultra-high precision, ultra-wide-field optical photometry</t>
  </si>
  <si>
    <t>VARIABILITY</t>
  </si>
  <si>
    <t>The low scintillation noise and the long continuous darkness are among the unique properties of the Dome-C site on the east Antarctic plateau. Ultra-high precision optical photometry is therefore among the techniques best suited for this particular site. We propose a telescope (ICE-T) optimized for ultra-high and ultra wide field photometry for Dome C. It consists of two 60 cm optical ultra-wide-field Wynne-Schmidt telescopes and one 18 cm narrow-field Maksutov spectrophotometric telescope on a single mount. ICE-T is currently a team effort of the German Alfred-Wegener-Institute for Polar Research, the Italian Universities of Padova and Perugia, the INAF Observatory Catania, and the Catalonian IEEC in Barcelona, Spain, and the AIP, with collaboration from the University of New South Wales, Australia and the University of St. Andrews, UK. In this paper, I discuss some of the many problems associated with sub-milli-mag photometry.</t>
  </si>
  <si>
    <t>Astrophys Inst, AIP, D-14482 Potsdam, Germany</t>
  </si>
  <si>
    <t>Leibniz Institut fur Astrophysik Potsdam (AIP)</t>
  </si>
  <si>
    <t>Strassmeier, KG (corresponding author), Astrophys Inst, AIP, D-14482 Potsdam, Germany.</t>
  </si>
  <si>
    <t>10.1051/eas:2007100</t>
  </si>
  <si>
    <t>WOS:000248621600038</t>
  </si>
  <si>
    <t>Mosser, B</t>
  </si>
  <si>
    <t>Mosser, B.</t>
  </si>
  <si>
    <t>STAMOIS Team</t>
  </si>
  <si>
    <t>Siamois: Seismic interferometer to measure oscillations in the interior of stars</t>
  </si>
  <si>
    <t>SIAMOIS is a project devoted to ground-based asteroseismology, involving a small collector and an instrument to be installed at the Dome C Concordia station in Antarctica. After the space project CoRoT, SIAMOIS will provide unique Doppler information on G and K type bright stars on the main sequence. Spectrometric observations with SIAMOIS will be able to detect oscillation modes that cannot be analyzed in photometry, and will be less affected by stellar activity noise. The SIAMOIS concept is based on Fourier Transform interferometry. Such a principle leads to a small instrument designed and developed for the harsh conditions in Antarctica. The instrument will be fully automatic, with no moving parts, and a very simple initial set up at Dome C. Dome C appears to be the ideal place for ground-based asteroseismic observations. The unequalled weather conditions yield a duty cycle as high as 90% over 3 months, as was observed during the 2006 wintering. This high duty cycle, a crucial point for asteroseismology, is comparable to the best space-based observations. Long time series (up to 3 months) will be possible, thanks to the long duration of the polar night. SIAMOIS can be seen as one of the very first astronomical projects to be conducted at Dome C. Its scientific programme will take full advantage of the unique quality of this site, and will constitute a necessary first step in preparation of future more ambitious programmes requiring more sophisticated instrumentation and larger collectors.</t>
  </si>
  <si>
    <t>Observ Paris, LESIA, CNRS, UMR 8109, F-92195 Meudon, France</t>
  </si>
  <si>
    <t>Sorbonne Universite; Universite Paris Cite; Centre National de la Recherche Scientifique (CNRS); CNRS - National Institute for Earth Sciences &amp; Astronomy (INSU); Universite PSL; Observatoire de Paris</t>
  </si>
  <si>
    <t>Mosser, B (corresponding author), Observ Paris, LESIA, CNRS, UMR 8109, F-92195 Meudon, France.</t>
  </si>
  <si>
    <t>Mosser, Benoit/0000-0002-7547-1208</t>
  </si>
  <si>
    <t>10.1051/eas:2007101</t>
  </si>
  <si>
    <t>WOS:000248621600039</t>
  </si>
  <si>
    <t>Maillard, JP</t>
  </si>
  <si>
    <t>Maillard, J.-P.</t>
  </si>
  <si>
    <t>Design of a wide-field imaging FTS at high spectral resolution for Dome C</t>
  </si>
  <si>
    <t>SPECTROSCOPY</t>
  </si>
  <si>
    <t>The paper starts from the rationale, already presented in 2004 at the first Toulouse meeting on astronomy at Dome C, to propose an infrared, wide-field Imaging FTS (IFTS) as a first generation instrument behind a 2 to 3 m optical telescope. Such an instrument could fully take advantage of all the properties of the site for imagery and spectroscopy and offer an instrument presently needed after the numerous imaging surveys. Simulations have been conducted to define the range of field size and of resolution which could be reachable. Then, derived from the study of H-2 Explorer (H2EX) an IFTS for a space project, an optical design for a 2 to 25 mu m instrument, imaging a 10 ' x 10 ' field, has been developed, based on a dual ouput interferometer, using cat's eyes retroreflectors in its arms. With a maximum optical path difference (OPD) of 30 cm a spectral resolution of 10(5) at 2 mu m (20 000 at 25 mu m) is possible with this field size, behind a PILOT-type telescope (2.4 m) and a minimum beam size of 80 mm within the interferometer. With the same optics and the same mechanism of control of the OPD, two interchangeable beamsplitters (2 to 5.5 mu m and 6 to 25 mu m) and the corresponding detector arrays (InSb and Si:As) cover the entire spectral range. The instrument must be cryogenic (temperature around 50 K) to make the thermal background from the optics negligible. The best sensitivity is obtained through narrow-band filters (2%) isolating lines in emission-line regions. Such a survey instrument has never been built before. It calls for a dedicated telescope for the best use of this type of instrument on the Dome C site.</t>
  </si>
  <si>
    <t>CNRS, Inst Astrophys Paris, F-75014 Paris, France</t>
  </si>
  <si>
    <t>Centre National de la Recherche Scientifique (CNRS); Sorbonne Universite</t>
  </si>
  <si>
    <t>Maillard, JP (corresponding author), CNRS, Inst Astrophys Paris, 98bis Bl, F-75014 Paris, France.</t>
  </si>
  <si>
    <t>maillard@iap.fr</t>
  </si>
  <si>
    <t>10.1051/eas:2007102</t>
  </si>
  <si>
    <t>WOS:000248621600040</t>
  </si>
  <si>
    <t>Kelz, A</t>
  </si>
  <si>
    <t>Kelz, A.</t>
  </si>
  <si>
    <t>The prospects of integral-field spectroscopy for Antarctica</t>
  </si>
  <si>
    <t>PMAS</t>
  </si>
  <si>
    <t>The first suite of instruments and associated science cases for a larger facility at Dome C are mainly targeted towards imaging and surveys. While the potential advantages for astronomical observations from Antarctica are applicable to both imaging and spectroscopy, spectrographs are more complex to build and harder to use in a fully automatic and remote operation. However, the innovative technique of 3D-Spectroscopy (3DS) offers imaging and spectroscopic capabilities simultaneously with applications to a wide range of astronomical programmes. Furthermore, 3DS provides several operational benefits, that are well suited for a location such as Antarctica.</t>
  </si>
  <si>
    <t>Kelz, A (corresponding author), Astrophys Inst Potsdam, Sternwarte 16, D-14482 Potsdam, Germany.</t>
  </si>
  <si>
    <t>10.1051/eas:2007103</t>
  </si>
  <si>
    <t>WOS:000248621600041</t>
  </si>
  <si>
    <t>Storey, JWV; Ashley, MCB; Burton, MG; Lawrence, JS</t>
  </si>
  <si>
    <t>Storey, J. W. V.; Ashley, M. C. B.; Burton, M. G.; Lawrence, J. S.</t>
  </si>
  <si>
    <t>PILOT - The pathfinder for an International large optical telescope</t>
  </si>
  <si>
    <t>DOME-C; ANTARCTICA</t>
  </si>
  <si>
    <t>PILOT is proposed as a partnership between Australia and Europe to develop a 2.4 m optical/infrared telescope for Dome C, Antarctica. Funding for a detailed designed study is being sought from Australian sources, with a view to commencing construction in early 2008. The current strawman design is for an f/10 dual Nasmyth configuration with provision for both a silicon carbide fast tip-tilt secondary mirror for the thermal infrared, and an adaptive secondary mirror to achieve diffraction-limited imaging at wavelengths as short as V-band.</t>
  </si>
  <si>
    <t>Storey, JWV (corresponding author), Univ New S Wales, Sch Phys, Sydney, NSW 2052, Australia.</t>
  </si>
  <si>
    <t>Burton, Michael/0000-0001-7289-1998; Ashley, Michael/0000-0003-1412-2028; Lawrence, Jon/0000-0002-6998-6993</t>
  </si>
  <si>
    <t>10.1051/eas:2007104</t>
  </si>
  <si>
    <t>WOS:000248621600042</t>
  </si>
  <si>
    <t>Saunders, W; McGrath, AJ</t>
  </si>
  <si>
    <t>Saunders, W.; McGrath, A. J.</t>
  </si>
  <si>
    <t>What?: A large reflective schmidt telescope for the Antarctic plateau</t>
  </si>
  <si>
    <t>We present a design concept for WHAT - the Wide-field Antarctic Horizontal Telescope - to take advantage of the unique possibilities of Antarctica for both optical and near infrared astronomy. The design is an 8 metre, wide-field, fixed-axis, all-reflective, f/4 Schmidt telescope. Prime and Cassegrain (or Gregorian) foci are provided, giving plate scales 150-1500 mu m/'', over fields of view 3 ' - 3 degrees. Diffraction limited, NGSAO-corrected K-dark images are possible over arc-minute sized fields, over most of the sky. The sensitivity, resolution, field of view and cost all compare favourably with current or proposed space or ground-based telescopes.</t>
  </si>
  <si>
    <t>[Saunders, W.; McGrath, A. J.] Anglo Australian Observ, POB 196, Epping, NSW 1710, Australia</t>
  </si>
  <si>
    <t>Saunders, W (corresponding author), Anglo Australian Observ, POB 196, Epping, NSW 1710, Australia.</t>
  </si>
  <si>
    <t>10.1051/eas:2007105</t>
  </si>
  <si>
    <t>WOS:000248621600043</t>
  </si>
  <si>
    <t>Hammerschlag, RH; Bettonvil, FCM; Jaegers, APL; Nielsen, G</t>
  </si>
  <si>
    <t>Hammerschlag, R. H.; Bettonvil, F. C. M.; Jaegers, A. P. L.; Nielsen, G.</t>
  </si>
  <si>
    <t>Towers for Antarctic telescopes</t>
  </si>
  <si>
    <t>To take advantage of the exceptional seeing above the boundary layer on Antarctic sites, a high-resolution telescope must be mounted on a support tower. An open transparent tower of framework minimizes the upward temperature-disturbed airflow. A typical minimum height is 30 m. The tower platform has to be extremely stable against wind-induced rotational motions, which have to be less than fractions of an arc second, unusually small from a mechanical engineering viewpoint. In a traditional structure, structural deflections result in angular deflections of the telescope platform, which introduce tip and tilt motions in the telescope. However, a structure that is designed to deflect with parallel motion relative to the horizontal plane will undergo solely translation deflections in the telescope platform and thus will not degrade the image. The use of a parallel motion structure has been effectively demonstrated in the design of the 15-m tower for the Dutch Open Telescope (DOT) on La Palma. Special framework geometries are developed, which make it possible to construct high towers in stories having platforms with extreme stability against wind-induced tilt. These geometric solutions lead to constructions, being no more massive than a normal steel framework carrying the same load. Consequently, these lightweight towers are well suited to difficult sites as on Antarctica. A geometry with 4 stories has been worked out.</t>
  </si>
  <si>
    <t>Univ Utrecht, Astron Inst, NL-3508 TA Utrecht, Netherlands</t>
  </si>
  <si>
    <t>Hammerschlag, RH (corresponding author), Univ Utrecht, Astron Inst, NL-3508 TA Utrecht, Netherlands.</t>
  </si>
  <si>
    <t>10.1051/eas:2007106</t>
  </si>
  <si>
    <t>WOS:000248621600044</t>
  </si>
  <si>
    <t>Ansorge, W</t>
  </si>
  <si>
    <t>Ansorge, W.</t>
  </si>
  <si>
    <t>Reliability and maintainability constrains for the design, production and operation of astronomical equipment for the Antarctica</t>
  </si>
  <si>
    <t>The installation and operation of an ELT and the associated astronomical instruments requires considering the reliability aspects (the ability to work satisfactorily for a specified time under given environmental conditions) and the maintenance/maintainability aspects from the beginning of an ELT/instrument project. In particular, for equipment working in the extreme antarctic environment the reliability and maintainability characteristics are the main factors influencing, i)the availability of the equipment for the scientific research activities, and ii) the annual and the long term operation costs (Life Cycle Costs, LCC). These characteristics have to be designed and built into the equipment. The presentation describes the general strategy to be followed, the main activities to be done, and the decisions to be taken during the individual project phases from the identification of the user needs to the installation, commissioning and operation in order to guarantee high equipment availability and optimized maintenance effort and costs.</t>
  </si>
  <si>
    <t>RAMS CON Management Consultants, D-85617 Assling, Germany</t>
  </si>
  <si>
    <t>Ansorge, W (corresponding author), RAMS CON Management Consultants, Loitersdorft 15, D-85617 Assling, Germany.</t>
  </si>
  <si>
    <t>10.1051/eas:2007107</t>
  </si>
  <si>
    <t>WOS:000248621600045</t>
  </si>
  <si>
    <t>Quattri, M</t>
  </si>
  <si>
    <t>Quattri, M.</t>
  </si>
  <si>
    <t>Frictionless telescopes in Antarctica: Why and how?</t>
  </si>
  <si>
    <t>Seeing quality in Antarctica is in the hundredth arcseconds range out of the boundary layer. To take advantage of this quality telescopes should be in thermal equilibrium with the outside environment and should minimize the non linearity's like limit cycles which will deteriorate tracking. At the ESO Very Large Telescope (VLT) 8 m telescopes this is realized using oil bearings and direct drives on the axes to avoid slip stick effects on the motion. In Antarctica this could be realized using magnetic bearings, possibly combined with motors, on the axes, with also advantages concerning power consumptions and maintenance of the system.</t>
  </si>
  <si>
    <t>European So Observ, D-85748 Garching, Germany</t>
  </si>
  <si>
    <t>Quattri, M (corresponding author), European So Observ, Karl Schwarzschild Str 2, D-85748 Garching, Germany.</t>
  </si>
  <si>
    <t>10.1051/eas:2007108</t>
  </si>
  <si>
    <t>WOS:000248621600046</t>
  </si>
  <si>
    <t>Perrin, G</t>
  </si>
  <si>
    <t>Perrin, G.</t>
  </si>
  <si>
    <t>Optical-infrared interferometry and the Dome C context</t>
  </si>
  <si>
    <t>TELESCOPES; ANTARCTICA</t>
  </si>
  <si>
    <t>This paper is a brief introduction to optical-infrared interferometry in the context of Dome C. It presents the current status of the field to discuss how Dome C can play a role in the overall context of ground-based interferometry. Some figures of merit which are relevant to interferometry are derived and a discussion of the potential of Dome C is proposed. The site offers fantastic perspectives but some important issues need to be tackled to come up with a decision for future large facilities.</t>
  </si>
  <si>
    <t>Observ Paris, LESIA, UMR 8109, F-92190 Meudon, France</t>
  </si>
  <si>
    <t>Centre National de la Recherche Scientifique (CNRS); CNRS - National Institute for Earth Sciences &amp; Astronomy (INSU); Universite Paris Cite; Universite PSL; Observatoire de Paris; Sorbonne Universite</t>
  </si>
  <si>
    <t>Perrin, G (corresponding author), Observ Paris, LESIA, UMR 8109, F-92190 Meudon, France.</t>
  </si>
  <si>
    <t>Perrin, Guy/0000-0003-0680-0167</t>
  </si>
  <si>
    <t>10.1051/eas:2007109</t>
  </si>
  <si>
    <t>WOS:000248621600047</t>
  </si>
  <si>
    <t>Valat, B; Gori, PM; Schmider, FX; Lopez, B; Vakili, F</t>
  </si>
  <si>
    <t>Valat, B.; Gori, P. M.; Schmider, F.-X.; Lopez, B.; Vakili, F.</t>
  </si>
  <si>
    <t>KEOPS: Scientific challenges and technical steps</t>
  </si>
  <si>
    <t>DOME-C</t>
  </si>
  <si>
    <t>The recent site testing pointed out the potential of Dome C for Next Generation Optical Interferometer. KEOPS (Kilo parsec Explorer Optical Planet Search) is proposed in a context which also considere the post VLTI perspectives. This interferometer will be composed of 36 telescopes with a maximal baseline of 1 km. This instrument will open new horizons: stellar imaging, circumstellar environment studies, extra solar planet detection, Earth like planet search. The possibility of observations in double field mode takes advantage of the large isopistonic angle to give acces to faint object (see Elhalkouj 2006). It allows active galactic nuclei and cosmological observations. The achievement of that project implies different steps. The first one could be MYKERINOS, proposed by LUAN. This prototype interferometer, composed to 3 telescopes of 40 cm, demonstrate technological feasibility, complete the specific site characterisation and contribute to validate the scientific program objectives.</t>
  </si>
  <si>
    <t>Univ Nice, Lab Univ Astrophys Nice, UMR 6525, Antipolis, France</t>
  </si>
  <si>
    <t>Valat, B (corresponding author), Univ Nice, Lab Univ Astrophys Nice, UMR 6525, Antipolis, France.</t>
  </si>
  <si>
    <t>Schmider, François-Xavier/C-5435-2012</t>
  </si>
  <si>
    <t>Schmider, Francois-Xavier/0000-0003-3914-3546</t>
  </si>
  <si>
    <t>10.1051/eas:2007110</t>
  </si>
  <si>
    <t>WOS:000248621600048</t>
  </si>
  <si>
    <t>Surdej, J; Chelli, A; Garcia, P; Henning, T; Quirrenbach, A</t>
  </si>
  <si>
    <t>Surdej, J.; Chelli, A.; Garcia, P.; Henning, Th.; Quirrenbach, A.</t>
  </si>
  <si>
    <t>The European Interferometry Initiative (EII) within opticon</t>
  </si>
  <si>
    <t>We present a brief summary of past Network and Joint Research Activities of the European Interferometry Initiative Consortium in FP6 within OPTICON, of a Marie Curie exchange and education project within the EU program and of planned activities in FP7.</t>
  </si>
  <si>
    <t>Univ Liege, Inst Astrophys &amp; Geophys, B-4000 Cointe Ougree, Belgium</t>
  </si>
  <si>
    <t>Surdej, J (corresponding author), Univ Liege, Inst Astrophys &amp; Geophys, Allee 6 Aout 17,B5C, B-4000 Cointe Ougree, Belgium.</t>
  </si>
  <si>
    <t>Valente Garcia, Paulo Jorge/B-8933-2009; Henning, Thomas K/O-4372-2018</t>
  </si>
  <si>
    <t>Valente Garcia, Paulo Jorge/0000-0002-1678-3535; Quirrenbach, Andreas/0000-0002-3302-1962</t>
  </si>
  <si>
    <t>10.1051/eas:2007111</t>
  </si>
  <si>
    <t>WOS:000248621600049</t>
  </si>
  <si>
    <t>du Foresto, VC</t>
  </si>
  <si>
    <t>du Foresto, V. Coude</t>
  </si>
  <si>
    <t>New worlds, new vantage points: How does the antarctic plateau fit on the roadmap for the search of extrasolar earthlike planets?</t>
  </si>
  <si>
    <t>The search for earth-like planets around solar analogs, and their spectroscopic characterization, is one of the major endeavors of astronomy for the next decades. This long term program that will ultimately require dedicated space missions can be supported by facilities taking advantage of the exceptional qualities of the Antarctic plateau for astronomical observations requiring a combination of high angular resolution and very high dynamic range. A medium scale pathfinder mission would fit both on the roadmap for Darwin and towards the preparation of a future kilometric imaging array in Antarctica.</t>
  </si>
  <si>
    <t>Observ Paris, LESIA, F-92190 Meudon, France</t>
  </si>
  <si>
    <t>du Foresto, VC (corresponding author), Observ Paris, LESIA, 5 Pl Jules Janssen, F-92190 Meudon, France.</t>
  </si>
  <si>
    <t>10.1051/eas:2007112</t>
  </si>
  <si>
    <t>WOS:000248621600050</t>
  </si>
  <si>
    <t>Krabbel, A; Kärcher, H</t>
  </si>
  <si>
    <t>Krabbel, A.; Kaercher, H.</t>
  </si>
  <si>
    <t>SOFIA -: A telescope for harsh environments lessons learned for Dome C</t>
  </si>
  <si>
    <t>SYSTEM</t>
  </si>
  <si>
    <t>SOFIA is a stratospheric observatory for far-infrared astronomy. Its 3 m-class telescope has been designed to operate throughout the optical and infrared waveband on board a Boeing 747SP at temperatures as low as -50 degree C and at elevations up to 41000 feet. It conforms to a level of reliability and safety well above usual observatory standards. The main design characteristics of the telescope will be discussed in the context of the antarctic environment. Important features of the telescope technology are also applicable to remotely operated arctic telescopes.</t>
  </si>
  <si>
    <t>Univ Cologne, Inst Phys 1, D-50937 Cologne, Germany</t>
  </si>
  <si>
    <t>University of Cologne</t>
  </si>
  <si>
    <t>Krabbel, A (corresponding author), Univ Cologne, Inst Phys 1, Zulpicherstr 77, D-50937 Cologne, Germany.</t>
  </si>
  <si>
    <t>10.1051/eas:2007113</t>
  </si>
  <si>
    <t>WOS:000248621600051</t>
  </si>
  <si>
    <t>Minier, V; Durand, G; Lagage, PO; Talvard, M; Avouillon, TT; Busso, M; Tosti, G</t>
  </si>
  <si>
    <t>Minier, V.; Durand, G.; Lagage, P.-O.; Talvard, M.; Avouillon, T. T.; Busso, M.; Tosti, G.</t>
  </si>
  <si>
    <t>Submillimetre/TeraHertz astronomy at Dome C with CEA filled bolometer array</t>
  </si>
  <si>
    <t>METHANOL MASERS</t>
  </si>
  <si>
    <t>Submillimetre/TeraHertz (e.g. 200, 350, 450 mu m) astronomy is the prime technique to unveil the birth and early evolution of a broad range of astrophysical objects. A major obstacle to carry out submm observations from ground is the atmosphere. Preliminary site testing and atmospheric transmission models tend to demonstrate that Dome C could offer the best conditions on Earth for submm/THz astronomy. The CAMISTIC project aims to install a filled bolometer-array camera with 16 x 16 pixels on IRAIT at Dome C and explore the 200-mu m windows for potential ground-based observations.</t>
  </si>
  <si>
    <t>CEA; Universite Paris Saclay</t>
  </si>
  <si>
    <t>Minier, V (corresponding author), CEA Saclay, Serv Astrophys, DAPNIA, DSM, F-91191 Gif Sur Yvette, France.</t>
  </si>
  <si>
    <t>Tosti, Gino/0000-0002-0839-4126; Travouillon, Tony/0000-0001-9304-6718; Busso, Maurizio Maria/0000-0001-8944-5820</t>
  </si>
  <si>
    <t>10.1051/eas:2007114</t>
  </si>
  <si>
    <t>WOS:000248621600052</t>
  </si>
  <si>
    <t>Tothill, NFH</t>
  </si>
  <si>
    <t>Tothill, N. F. H.</t>
  </si>
  <si>
    <t>AST/RO: Lessons from a decade of sub-mm astronomy at the South Pole</t>
  </si>
  <si>
    <t>ANTARCTIC-SUBMILLIMETER-TELESCOPE; MOLECULAR CLOUD; EMISSION; COMPLEX; CO</t>
  </si>
  <si>
    <t>AST/RO spent over a decade at the South Pole, observing submillimetre-wave emission from the interstellar medium. We outline some of the lessons learned and experience gained that may be relevant to future Antarctic projects. Small submillimetre-wave telescopes, on the excellent sites provided by the Antarctic plateau, have very strong large-area mapping capabilities, together with the potential for ground-based THz observations. Highlighted technical aspects include AST/RO's lack of icing problems and availability of warm space.</t>
  </si>
  <si>
    <t>Univ Exeter, Sch Phys, Exeter, Devon, England</t>
  </si>
  <si>
    <t>University of Exeter</t>
  </si>
  <si>
    <t>Tothill, NFH (corresponding author), Univ Exeter, Sch Phys, Stocker Rd, Exeter, Devon, England.</t>
  </si>
  <si>
    <t>10.1051/eas:2007115</t>
  </si>
  <si>
    <t>WOS:000248621600053</t>
  </si>
  <si>
    <t>Olmi, L; Saraceno, P; Candidi, M; Buss, M; Marchiori, G</t>
  </si>
  <si>
    <t>Olmi, L.; Saraceno, P.; Candidi, M.; Buss, M.; Marchiori, G.</t>
  </si>
  <si>
    <t>An IR and submillimeter telescope for Dome C</t>
  </si>
  <si>
    <t>ANTARCTIC PLATEAU</t>
  </si>
  <si>
    <t>The Antarctic Plateau provides the best terrestrial astronomical observing conditions across the Mid-InfraRed (MIR) and submillimeter wavebands due to its remarkable atmospheric transparency and stability. The opening of Concordia Station at Dome C is now offering a unique opportunity to the international submm astronomical community to perform ground-breaking astronomical science. To take advantage of these unique conditions, we are proposing the realization of an international Antarctic Submillimeter Observatory (ASO) based on the ALMA antenna prototype, to carry out both continuum and spectral line observations, across the MIR and submm wavebands. The telescope would be able to operate in the MIR using the innermost surface (2-4 m in diameter) of the primary reflector, which would be accurate enough to operate at wavelengths as short as similar to 5 micron.</t>
  </si>
  <si>
    <t>INAF, IRA, Florence, Italy</t>
  </si>
  <si>
    <t>Olmi, L (corresponding author), INAF, IRA, Florence, Italy.</t>
  </si>
  <si>
    <t>Busso, Maurizio Maria/0000-0001-8944-5820; Olmi, Luca/0000-0002-1162-7947</t>
  </si>
  <si>
    <t>10.1051/eas:2007116</t>
  </si>
  <si>
    <t>WOS:000248621600054</t>
  </si>
  <si>
    <t>Guerril, G; Abe, L; Aristidi, E; Daban, JB; Rivet, JP; Bendjoya, P; Vakili, F; Agabi, A</t>
  </si>
  <si>
    <t>Guerril, G.; Abe, L.; Aristidi, E.; Daban, J. B.; Rivet, J. P.; Bendjoya, P.; Vakili, F.; Agabi, A.</t>
  </si>
  <si>
    <t>CORONA: First light at Dome C of the Antarctica prototype APKC Coronagraph</t>
  </si>
  <si>
    <t>We present the results of the first light of CORONA obtained during the summer campaign 2005 at Dome C. The CORONA experiment uses an automated 14 '' antarctized telescope for its remote operation from the Concordia station. The instrument includes an Achromatized Phase Knife Coronagraph (APKC) with no tip-tilt correction. The high contrast long exposure is obtained from image selection among raw short exposures.</t>
  </si>
  <si>
    <t>Lab Univ Astrophys Nice, F-06000 Nice, France</t>
  </si>
  <si>
    <t>Guerril, G (corresponding author), Lab Univ Astrophys Nice, Parc Valrose, F-06000 Nice, France.</t>
  </si>
  <si>
    <t>Aristidi, Eric/0000-0001-9886-7670; Bendjoya, Philippe/0000-0002-4278-1437</t>
  </si>
  <si>
    <t>10.1051/eas:2007117</t>
  </si>
  <si>
    <t>WOS:000248621600055</t>
  </si>
  <si>
    <t>Suparta, W; Ali, MAM; Yatim, B; Misran, N</t>
  </si>
  <si>
    <t>IEEE</t>
  </si>
  <si>
    <t>Suparta, Wayan; Ali, Mohd. Alauddin Mohd.; Yatim, Baharudin; Misran, Norbahiah</t>
  </si>
  <si>
    <t>Remote sensing of Antarctic atmospheric water vapour using ground-based GPS meteorology</t>
  </si>
  <si>
    <t>2007 5TH STUDENT CONFERENCE ON RESEARCH AND DEVELOPMENT</t>
  </si>
  <si>
    <t>IEEE Student Conference on Research and Development SCOReD</t>
  </si>
  <si>
    <t>5th Student Conference on Research and Development</t>
  </si>
  <si>
    <t>DEC 11-12, 2007</t>
  </si>
  <si>
    <t>Selangor, MALAYSIA</t>
  </si>
  <si>
    <t>Antarctica; climate; GPS meteorology; PWV; zenith tropospheric delay</t>
  </si>
  <si>
    <t>Atmospheric precipitable water vapour (PWV) is one of the key components in determining and predicting the global climate system. Accurate quantification and interpretation of their physical characters using sounding technologies are quite difficult, especially in the Antarctic environment due to difficulties of the remote location and maintenance cost. This paper presents a method for deriving atmospheric PWV from ground-based GPS sensing technique. Methods for calculating the Zenith Tropospheric Delay (ZTD), Zenith Hydrostatic Delay (ZHD), Zenith Wet Delay (ZWD) and PWV are given. The Modified Hopfield model with an improvement is used to calculate ZTD, the Saastamoinen model is used to calculate ZHD and the Niell hydrostatic mapping function is used to map the ZTD to the individual satellite view. Scott Base (SBA), Casey (CAS1) and Syowa (SYOG) stations in Antarctica were taken as the observation sites. For the analysis, both GPS and surface meteorological (MET) data over the period of 2003 are presented. Before calculating the PWV, we firstly validate the ZTD determination and compared with the ZTD reference estimated from Center for Orbit Determination in Europe (CODE) Analysis Center. After that ZWD are converted into PWV using surface temperature measured at the site. Good results are achieved for ZTD validation at all stations. From statistical results found that the PWV content were below 10 mm (on average), which are all within 1 similar to 2 mm accuracy and showed that climate changes could be monitored through trends in the water vapour time series. Further work planned is to improve global climate model through quantifications, linkages, similarity or differences of either atmospheric processes between Antarctic environment and the equatorial environment.</t>
  </si>
  <si>
    <t>[Suparta, Wayan; Ali, Mohd. Alauddin Mohd.; Misran, Norbahiah] Univ Kebangsaan Malaysia, Fac Engn, Dept Elect Elect &amp; Syst Engn, Bangi 43600, Selangor Darul, Malaysia; [Yatim, Baharudin] Univ Kebangsaan Malaysia, Inst Space Sci, Bangi 43600, Malaysia</t>
  </si>
  <si>
    <t>Universiti Kebangsaan Malaysia; Universiti Kebangsaan Malaysia</t>
  </si>
  <si>
    <t>Suparta, W (corresponding author), Univ Kebangsaan Malaysia, Fac Engn, Dept Elect Elect &amp; Syst Engn, Bangi 43600, Selangor Darul, Malaysia.</t>
  </si>
  <si>
    <t>wyn_suparta@yahoo.com; mama@vlsi.eng.ukm.my; baha@pkrisc.cc.ukm.my; bahiah@vlsi.eng.ukm.my</t>
  </si>
  <si>
    <t>ALI, MOHD/IUM-6916-2023; SUPARTA, WAYAN/K-3110-2013; Misran, Norbahiah/U-1666-2019</t>
  </si>
  <si>
    <t>SUPARTA, WAYAN/0000-0002-6193-1867; Misran, Norbahiah/0000-0002-6142-8591</t>
  </si>
  <si>
    <t>Academy of Sciences Malaysia; Ministry of Science; Technology and Innovation Malaysia (MOSTI) [ANZ K14 1Z]; Universiti Kebangsaan Malaysia</t>
  </si>
  <si>
    <t>Academy of Sciences Malaysia; Ministry of Science; Technology and Innovation Malaysia (MOSTI); Universiti Kebangsaan Malaysia</t>
  </si>
  <si>
    <t>This work was supported by Academy of Sciences Malaysia and Ministry of Science, Technology and Innovation Malaysia (MOSTI) under the ANZ K14 1Z grant and Universiti Kebangsaan Malaysia.</t>
  </si>
  <si>
    <t>345 E 47TH ST, NEW YORK, NY 10017 USA</t>
  </si>
  <si>
    <t>2643-2439</t>
  </si>
  <si>
    <t>2643-2447</t>
  </si>
  <si>
    <t>978-1-4244-1469-7</t>
  </si>
  <si>
    <t>IEEE ST CONF RES DEV</t>
  </si>
  <si>
    <t>Engineering, Electrical &amp; Electronic</t>
  </si>
  <si>
    <t>BHU35</t>
  </si>
  <si>
    <t>WOS:000256425000081</t>
  </si>
  <si>
    <t>Sulaiman, S; Ali, MAM; Yatim, B</t>
  </si>
  <si>
    <t>Sulaiman, Sumazly; Ali, Mohd Alauddin Mohd; Yatim, Baharudin</t>
  </si>
  <si>
    <t>Ionospheric GPS-TEC observations at Scott Base Antarctica during 2004</t>
  </si>
  <si>
    <t>2007 ASIA-PACIFIC CONFERENCE ON APPLIED ELECTROMAGNETICS, PROCEEDINGS</t>
  </si>
  <si>
    <t>2007 Asia-Pacific Conference on Applied Electromagnetics</t>
  </si>
  <si>
    <t>DEC 04-06, 2007</t>
  </si>
  <si>
    <t>Melaka, MALAYSIA</t>
  </si>
  <si>
    <t>In this paper we investigate the ionospheric GPSTEC observations at New Zealand Scott Base Antarctica (GC: 77.9 degrees S, 166.8 degrees E, CGM: 79.94 degrees S 327.63 degrees E) during the year 2004. Our results and discussions will include the daily TEC variations, diurnal TEC and statistical analyses.</t>
  </si>
  <si>
    <t>[Sulaiman, Sumazly] Univ Malaysia Terengganu, Fac Sci &amp; Technol, Dept Comp Sci, Kuala Terengganu 21030, Malaysia; [Ali, Mohd Alauddin Mohd] Univ Kebangsaan Malaysia, Bangi 43600, Malaysia; [Yatim, Baharudin] ANGKASA, Bangi 43600, Malaysia</t>
  </si>
  <si>
    <t>Universiti Malaysia Terengganu; Universiti Kebangsaan Malaysia</t>
  </si>
  <si>
    <t>Sulaiman, S (corresponding author), Univ Malaysia Terengganu, Fac Sci &amp; Technol, Dept Comp Sci, Kuala Terengganu 21030, Malaysia.</t>
  </si>
  <si>
    <t>sumazly@umt.edu.my; mama@vlsi.eng.ukm.my</t>
  </si>
  <si>
    <t>ALI, MOHD/IUM-6916-2023</t>
  </si>
  <si>
    <t>Academy of Sciences Malaysia (ASM) under the Antarctic New Zealand [K141Z]; Ministry of Science, Technology and Innovation Malaysia (MOSTI); ASM</t>
  </si>
  <si>
    <t>Academy of Sciences Malaysia (ASM) under the Antarctic New Zealand; Ministry of Science, Technology and Innovation Malaysia (MOSTI)(Ministry of Energy, Science, Technology, Environment and Climate Change (MESTECC), Malaysia); ASM</t>
  </si>
  <si>
    <t>This work is supported by the Academy of Sciences Malaysia (ASM) under the Antarctic New Zealand K141Z grant. The authors would like to express their gratitude to ASM and Ministry of Science, Technology and Innovation Malaysia (MOSTI) for sponsoring this research and staffs of Antarctica New Zealand for their logistic support and hospitality at Scott Base. We would like to acknowledge Zainol Abidin Abdul Rashid (deceased on 8th October 2006) who initiated this project.</t>
  </si>
  <si>
    <t>978-1-4244-1434-5</t>
  </si>
  <si>
    <t>Engineering, Electrical &amp; Electronic; Physics, Applied; Telecommunications</t>
  </si>
  <si>
    <t>Engineering; Physics; Telecommunications</t>
  </si>
  <si>
    <t>BIF95</t>
  </si>
  <si>
    <t>WOS:000259261000048</t>
  </si>
  <si>
    <t>Shalyapin, VN; Ivanov, VK</t>
  </si>
  <si>
    <t>Shalyapin, Vyacheslav N.; Ivanov, Victor K.</t>
  </si>
  <si>
    <t>Microwave propagation over the South ocean</t>
  </si>
  <si>
    <t>2007 EUROPEAN MICROWAVE CONFERENCE, VOLS 1-4</t>
  </si>
  <si>
    <t>37th European Microwave Conference</t>
  </si>
  <si>
    <t>OCT 08-12, 2007</t>
  </si>
  <si>
    <t>Munich, GERMANY</t>
  </si>
  <si>
    <t>We present the results of meteorological and radio-meteorological observations as well as the results of measurements of the attenuation factor of ultrahigh frequency (UHF) radio waves during the 28th Soviet Antarctic expedition in January-March 1983. It is shown that radio-meteorological parameters over the South ocean area in summer almost coincide with the corresponding averaged parameters over the land in winter. The main mechanism of radiowave propagation at distances over 100 km is single scattering by turbulent fluctuations of the atmospheric refractive index. Absolute values of the running attenuation at high frequencies are low compared to those in other climatic areas.</t>
  </si>
  <si>
    <t>[Shalyapin, Vyacheslav N.; Ivanov, Victor K.] Inst Radio Phys &amp; Elect, Remote Sensing Earth Dept, UA-61085 Kharkov, Ukraine</t>
  </si>
  <si>
    <t>National Academy of Sciences Ukraine; O. Ya. Usikov Institute for Radio Physics &amp; Electronics, National Academy of Sciences of Ukraine</t>
  </si>
  <si>
    <t>Shalyapin, VN (corresponding author), Inst Radio Phys &amp; Elect, Remote Sensing Earth Dept, 12 Proskura St, UA-61085 Kharkov, Ukraine.</t>
  </si>
  <si>
    <t>; Ivanov, Victor/R-9385-2016</t>
  </si>
  <si>
    <t>Shalyapin, Vyacheslav/0000-0003-3062-7835; Ivanov, Victor/0000-0003-1372-0018</t>
  </si>
  <si>
    <t>978-2-87487-001-9</t>
  </si>
  <si>
    <t>10.1109/EUMC.2007.4405526</t>
  </si>
  <si>
    <t>Engineering, Electrical &amp; Electronic; Optics; Telecommunications</t>
  </si>
  <si>
    <t>Engineering; Optics; Telecommunications</t>
  </si>
  <si>
    <t>BHS15</t>
  </si>
  <si>
    <t>WOS:000255921400417</t>
  </si>
  <si>
    <t>Microwave propagation over the South Ocean</t>
  </si>
  <si>
    <t>2007 EUROPEAN RADAR CONFERENCE</t>
  </si>
  <si>
    <t>European Radar Conference EuRAD</t>
  </si>
  <si>
    <t>4th European Radar Conference</t>
  </si>
  <si>
    <t>OCT 10-12, 2007</t>
  </si>
  <si>
    <t>We present the results of meteorological and radiometeorological observations as well as the results of measurements of the attenuation factor of ultrahigh frequency (UHF) radio waves during the 28th Soviet Antarctic expedition in January-March 1983. It is shown that radio-meteorological parameters over the South ocean area in summer almost coincide with the corresponding averaged parameters over the land in winter. The main mechanism of radiowave propagation at distances over 100 km is single scattering by turbulent fluctuations of the atmospheric refractive index. Absolute values of the running attenuation at high frequencies are low compared to those in other climatic areas.</t>
  </si>
  <si>
    <t>vshal@ire.kharkov.ua; ivanov@ire.kharkov.ua</t>
  </si>
  <si>
    <t>Ivanov, Victor Viktorovich/R-9385-2016</t>
  </si>
  <si>
    <t>978-2-87487-004-0</t>
  </si>
  <si>
    <t>EUROP RADAR CONF</t>
  </si>
  <si>
    <t>Engineering, Electrical &amp; Electronic; Remote Sensing; Telecommunications</t>
  </si>
  <si>
    <t>Engineering; Remote Sensing; Telecommunications</t>
  </si>
  <si>
    <t>BHQ55</t>
  </si>
  <si>
    <t>WOS:000255503800092</t>
  </si>
  <si>
    <t>Querel, R; Dahl, R; Naylor, D; Phillips, R</t>
  </si>
  <si>
    <t>Querel, Richard; Dahl, Regan; Naylor, David; Phillips, Robin</t>
  </si>
  <si>
    <t>Design of an infrared water vapour monitor for measurements of the atmospheric water content in Antarctica</t>
  </si>
  <si>
    <t>2007 JOINT 32ND INTERNATIONAL CONFERENCE ON INFRARED AND MILLIMETER WAVES AND 15TH INTERNATIONAL CONFERENCE ON TERAHERTZ ELECTRONICS, VOLS 1 AND 2</t>
  </si>
  <si>
    <t>Joint 32nd International Conference on Infrared and Millimeter Waves/15th International Conference on Terahertz Electronics</t>
  </si>
  <si>
    <t>SEP 03-09, 2007</t>
  </si>
  <si>
    <t>Cardiff, ENGLAND</t>
  </si>
  <si>
    <t>MAUNA-KEA</t>
  </si>
  <si>
    <t>The Infrared Radiometer for Millimetre Astronomy (IRMA) is a 20 mu m (15 THz) water vapour monitor. Using a simple infrared detector to measure the emitted flux across a spectral band containing only water vapour rotational transitions it is possible to determine the precipitable water vapour column abundance (PWV) using an atmospheric model. Water vapour is one of the principal sources of opacity at infrared wavelengths, thus measuring diurnal and seasonal trends in PWV plays an important role in observatory site assessment. The Antarctic plateau, with its high altitude, atmospheric stability, and extremely low humidity, represents a unique location for conducting astronomical observations. The site testing role of the IRMA instrument has been refined through remote operation in both Chile and Hawaii, and has now been extended to include Dome C, Antarctica. One IRMA unit will be integrated into the instrument suite of the University of New South Wales' AASTINO site monitoring facility in September 2007. We present here an overview of the IRMA concept and features that enables their use in site testing applications in remote locations of the Chilean desert. In addition, we describe the modifications required for operation in the low temperature environment (-80 degrees C) encountered at Dome C.</t>
  </si>
  <si>
    <t>[Querel, Richard; Dahl, Regan; Naylor, David; Phillips, Robin] Univ Lethbridge, Dept Phys, Astron Instrumentat Grp, Lethbridge, AB T1K 3M4, Canada</t>
  </si>
  <si>
    <t>University of Lethbridge</t>
  </si>
  <si>
    <t>Querel, R (corresponding author), Univ Lethbridge, Dept Phys, Astron Instrumentat Grp, Lethbridge, AB T1K 3M4, Canada.</t>
  </si>
  <si>
    <t>Querel, Richard/D-3770-2015</t>
  </si>
  <si>
    <t>Querel, Richard/0000-0001-8792-2486</t>
  </si>
  <si>
    <t>978-1-4244-1438-3</t>
  </si>
  <si>
    <t>Engineering, Electrical &amp; Electronic; Physics, Applied</t>
  </si>
  <si>
    <t>BIA55</t>
  </si>
  <si>
    <t>WOS:000257936900316</t>
  </si>
  <si>
    <t>Forrest, AL; Bohm, H; Laval, B; Magnusson, E; Yeo, R; Doble, MJ</t>
  </si>
  <si>
    <t>Forrest, A. L.; Bohm, H.; Laval, B.; Magnusson, E.; Yeo, R.; Doble, M. J.</t>
  </si>
  <si>
    <t>Investigation of under-ice thermal structure: small AUV deployment in Pavilion Lake, BC, Canada</t>
  </si>
  <si>
    <t>2007 OCEANS, VOLS 1-5</t>
  </si>
  <si>
    <t>OCEANS-IEEE</t>
  </si>
  <si>
    <t>2007 OCEANS Conference</t>
  </si>
  <si>
    <t>SEP 29-OCT 04, 2007</t>
  </si>
  <si>
    <t>Vancouver, CANADA</t>
  </si>
  <si>
    <t>AUV; ice deployment; recovery; radiative heat flux; penetrative convection</t>
  </si>
  <si>
    <t>CONVECTION; VEHICLE</t>
  </si>
  <si>
    <t>Within the past decade, Autonomous Underwater Vehicles (AUVs) have seen increased application in oceanographic research with limited limnological application. In 2006, the University of British Columbia Environmental Fluid Mechanics (UBC-EFM group began field trials of the 'UBC-Gavia' in two lacustrine systems (Kelly and Pavilion Lake, B.C., Canada) and one estuarine system (Loch Etive, Scotland). One of the driving forces behind using AUV platforms for scientific surveys is the ability of these vehicles to reach environments that are impractical to reach by conventional, ship-based, means. Exploration of the world's polar environments is currently the basis of several AUV-based research groups (e.g. Autosub Under-Ice program), with AUVs having successfully completed long distance surveys under sea-ice in both Arctic and Antarctic waters. One of the long-term objectives of the UBC-EFM group is to deploy UBC-Gavia under polar lake ice at selected sites both in the Canadian High Arctic and in Antarctica. In February 2007 a series of under-ice experiments were conducted in Pavilion Lake, B.C. with the primary objective of investigating under-ice thermal structure. Results demonstrate horizontal heterogeneity in the thermal structure of the lake indicative of convective circulation in the form of a negatively buoyant plume. In addition, novel techniques of AUV deployment, navigation and recovery developed for this project are described. Pavilion Lake, B.C. was selected as the field site for development of AUV deployment techniques during a two-week span in February 2007. This site was selected because ice-cover is relatively thin (&lt;50 cm) and there is relatively little snow cover during an average year (&lt;5 cm). In contrast to some recent under-sea-ice AUV applications (e.g. Autosub Under-Ice Program, SHEBA), mission operations were conducted from a hole in the ice surface (I x 3 in) rather than an ice edge, polynya or lead. Three different deployment techniques were used; a direct surface start, depth trigger start and remote trigger start. Testing included executing mission-tracks of increasing complexity at varying depths in the water column with additional runs conducted with the vehicle ballasted in an inverted orientation in order to make sonar and photographic observations of the ice underside. Vehicle positioning was achieved by two acoustic long baseline (LBL) transponders moored in the ice at fixed positions reference by GPS. A disadvantage of this system was the limited range (similar to 1 km(2)) required for valid triangulation of the vehicle. Missions were also executed using an Inertial Navigation System (INS) coupled with a Doppler Velocity Log (DVL). A combination of the LBL and INS/DVL systems is proposed for sea-ice deployments where a moving frame of reference (the sea-ice) is an additional degree of complexity. Since the vehicle does not typically return to the deployment hole, several search and recovery techniques were tested and will be reviewed in this paper.</t>
  </si>
  <si>
    <t>[Forrest, A. L.; Bohm, H.; Laval, B.] Univ British Columbia, Dept Civil Engn, 6250 Appl Sci Lane, Vancouver, BC V6T 1Z4, Canada; [Magnusson, E.; Yeo, R.] Hafmynd Ehf, IS-101 Reykjavik, Iceland; [Doble, M. J.] Univ Cambridge, Dept Appl Math &amp; Theoret Phys, Cambridge CB3 0WA, England</t>
  </si>
  <si>
    <t>University of British Columbia; University of Cambridge</t>
  </si>
  <si>
    <t>Forrest, AL (corresponding author), Univ British Columbia, Dept Civil Engn, 6250 Appl Sci Lane, Vancouver, BC V6T 1Z4, Canada.</t>
  </si>
  <si>
    <t>Doble, Martin J/A-9915-2012; Laval, Bernard E/J-9861-2012; Forrest, Alexander/C-3765-2014</t>
  </si>
  <si>
    <t>Laval, Bernard Edmond/0000-0002-4810-9246; Forrest, Alexander/0000-0002-7853-9765</t>
  </si>
  <si>
    <t>Canadian Space Agency's; NASA's Astrobiology program; National Geographic Society CRE; Canada's NSERC Discovery; Canada NSERC PGS-D scholarship; DAMOCLES; European Union [018509]</t>
  </si>
  <si>
    <t>Canadian Space Agency's(Canadian Space Agency); NASA's Astrobiology program(National Aeronautics &amp; Space Administration (NASA)); National Geographic Society CRE(National Geographic Society); Canada's NSERC Discovery(Natural Sciences and Engineering Research Council of Canada (NSERC)); Canada NSERC PGS-D scholarship(Natural Sciences and Engineering Research Council of Canada (NSERC)); DAMOCLES; European Union(European Union (EU))</t>
  </si>
  <si>
    <t>The Pavilion Lake Research Project and UBC-Gavia operations at Pavilion Lake are supported by the Canadian Space Agency's CARN-01 program, NASA's Astrobiology program, National Geographic Society CRE, and Canada's NSERC Discovery program. Operations at Pavilion Lake would not be possible without the help of Mickey and Linda Macri. Alex Forrest is supported by a Canada NSERC PGS-D scholarship. Martin Doble's participation was funded by the DAMOCLES project, grant no. 018509 of the European Union 6th Framework Program.</t>
  </si>
  <si>
    <t>0197-7385</t>
  </si>
  <si>
    <t>978-0-933957-37-4</t>
  </si>
  <si>
    <t>Engineering, Marine; Oceanography; Remote Sensing; Telecommunications</t>
  </si>
  <si>
    <t>Engineering; Oceanography; Remote Sensing; Telecommunications</t>
  </si>
  <si>
    <t>BHU56</t>
  </si>
  <si>
    <t>WOS:000256526300068</t>
  </si>
  <si>
    <t>Fiolek, A</t>
  </si>
  <si>
    <t>Fiolek, A.</t>
  </si>
  <si>
    <t>International polar year 2007-2008 resources on polar research in the NOAA Central Library Network</t>
  </si>
  <si>
    <t>Located in Silver Spring, Maryland, the NOAA Central Library (NCL) networks over thirty NOAA libraries nationwide. NCL is considered the historically richest and most comprehensive multidisciplinary scientific collection in hydrographic surveying, oceanography, ocean engineering, atmospheric sciences (climatology and meteorology), meteorological satellite applications, living marine resources, geophysics, cartography, and mathematics in the United States, possibly in the Western Hemisphere. It incorporates holdings of NOAA's predecessor agencies, including the Coast and Geodetic Survey, the Weather Bureau, and the Bureau of Fisheries. The collections reflect the history of these organizations, their scientific research, observations and data from 1820 to the present. The NOAA Library Network collections are unique: over 40% of the items in NOAALINC (the online catalog) and their manual catalogs are not found anywhere else. Unique polar research materials include historic and current reports from various polar expeditions, with research and observations from both the Arctic and Antarctic regions. The presence of these unique and historical resources in NOAA prompted the Library to participate in 4th International Polar Year (IPY) 2007-2008 activities. Many unique and historically valuable NOAA polar research documents and scientific data, in the forms of digital videos, still images, and datasets, have been entered into the NOAALINC, the National Oceanographic Data Center (NODC) Ocean Archive System (OAC), and other oceanographic information catalogs and databases. This was possible thanks to the Library's collaboration with several NOAA projects and programs, including the Video Data Management System (VDMS), Climate Data Modernization Program (CDMP), and NODC Cruise Report Program. Over one hundred fifty of these unique and historically valuable documents were selected, cataloged, imaged and entered into NOAALINC to assure online, open access to their full-text files. A comprehensive bibliography has been prepared to provide an additional access point to the polar related resources via the Library's home page. This online bibliography also serves as an Internet locator for printed and remote resources in polar research. It is available via the NCL Bibliographies' home page at: http://docs.lib.noaa.gov/rescue/Bibliographies/IPY2007.pd. During the 4(th) International Polar Year, the NOAA Library Network collections serve as an important resource for polar data and research.</t>
  </si>
  <si>
    <t>NOAA, Cent Lib, Silver Spring, MD 20910 USA</t>
  </si>
  <si>
    <t>National Oceanic Atmospheric Admin (NOAA) - USA</t>
  </si>
  <si>
    <t>Fiolek, A (corresponding author), NOAA, Cent Lib, SSMC3,2nd Floor,1315 E W Highway, Silver Spring, MD 20910 USA.</t>
  </si>
  <si>
    <t>Fiolek, Anna/H-3658-2016</t>
  </si>
  <si>
    <t>Fiolek, Anna/0000-0001-8481-3639</t>
  </si>
  <si>
    <t>WOS:000256526301075</t>
  </si>
  <si>
    <t>Zhao, DL; Chen, XL; He, HL; Mei, S; Mang, YZ</t>
  </si>
  <si>
    <t>Zhao Dianli; Chen Xiulan; He Hailun; Shi Mei; Mang Yuzhong</t>
  </si>
  <si>
    <t>Gene cloning and sequence analysis of the cold-adapted chaperones DnaK and DnaJ from deep-sea psychrotrophic bacterium Pseudoalteromonas sp SM9913</t>
  </si>
  <si>
    <t>ACTA OCEANOLOGICA SINICA</t>
  </si>
  <si>
    <t>cold-adapted; chaperone; DnaJ; DnaK; deep-sea; Pseudoalteromonas sp SM9913; gene cloning; sequence analysis</t>
  </si>
  <si>
    <t>PSYCHROPHILIC ENZYMES; ANTARCTIC BACTERIUM; ESCHERICHIA-COLI; LOW-TEMPERATURES; ADAPTATION; BINDING; PROTEIN; GROWTH</t>
  </si>
  <si>
    <t>Pseudoalteromonas sp. SM9913 is a phychrotrophic bacterium isolated from the deep-sea sediment. The genes encoding chaperones DnaJ and DnaK of P. sp. SM9913 were cloned by normal PCR and TAIL - PCR ( GenBank accession Nos DQ640312, DQ504163). The chaperones DnaJ and DnaK from the strain SM9913 contain such conserved domains as those of many other bacteria, and show some cold-adapted characteristics in their structures when compared with those from psychro-, meso- and themophilic bacteria. It is indicated that chaperones DnaJ and DnaK of P. sp. SM9913 may be adapted to low temperature in deep-sea and function well in assisting folding, assembling and translocation of proteins at low temperature. This research lays a foundation for the further study on the cold-adapted mechanism of chaperones DnaJ and DnaK of cold-adapted microorganisms.</t>
  </si>
  <si>
    <t>[Zhao Dianli; Chen Xiulan; He Hailun; Shi Mei; Mang Yuzhong] Shandong Univ, Marine Biotechnol Res Ctr, State Key Lab Microbiol Technol, Jinan 250100, Peoples R China</t>
  </si>
  <si>
    <t>Shandong University</t>
  </si>
  <si>
    <t>Chen, XL (corresponding author), Shandong Univ, Marine Biotechnol Res Ctr, State Key Lab Microbiol Technol, Jinan 250100, Peoples R China.</t>
  </si>
  <si>
    <t>cx10423@sdu.edu.cn</t>
  </si>
  <si>
    <t>Yan, Miaochen/JLL-5061-2023</t>
  </si>
  <si>
    <t>0253-505X</t>
  </si>
  <si>
    <t>1869-1099</t>
  </si>
  <si>
    <t>ACTA OCEANOL SIN</t>
  </si>
  <si>
    <t>Acta Oceanol. Sin.</t>
  </si>
  <si>
    <t>252UO</t>
  </si>
  <si>
    <t>WOS:000252472300009</t>
  </si>
  <si>
    <t>Zeng, YX; Li, HR; Yong, Y; Boz, C; Zheng, TL</t>
  </si>
  <si>
    <t>Zeng, Yinxin; Li, Huirong; Yong, Yu; Boz, Chen; Zheng, Tianling</t>
  </si>
  <si>
    <t>Phylogenetic diversity and phenotypic characterization of cultivable bacterioplankton isolated from polar oceans</t>
  </si>
  <si>
    <t>bacterioplankton; diversity; arctic; antarctic</t>
  </si>
  <si>
    <t>ARCTIC SEA-ICE; BACTERIAL DIVERSITY; BIODIVERSITY; COMMUNITIES; ENRICHMENT; HABITAT</t>
  </si>
  <si>
    <t>A set of 27 marine planktonic bacteria isolated from the polar regions was characterized by 16S rDNA sequencing and physiological and biochemical testing. More than half of these bacteria were positive for caseinase, gelatinase and beta-glucosidase, and could utilize glucose, maltose or malic acid as carbon source for cell growth. Twelve isolates expressed nitrate reduction activities. Except for one antarctic isolate BSw10175 belonging to Actinobacteria phylum, these isolates were classified as gamma-Proteobacteria, suggesting that gamma-Proteobacteria dominated in cultivable marine bacterioplankton at both poles. Genus Pseudoalteromonas was the predominant group in the Chukchi Sea and the Bering Sea, and genus Shewanella dominated in cultivable bacterioplankton in the Pry-dz Bay. With sequence similarities above 97%, genus Psychrobacter was found at both poles. These 27 isolates were psychrotolerant, and significant 16S rDNA sequence similarities were found not only between arctic and antarctic marine bacteria ( &gt;99%), but also between polar marine bacteria and bacteria from other aquatic environments ( &gt;=98.8%), including temperate ocean, deep sea, pond and lake, suggesting that in the polar oceans less temperature-sensitive bacteria may be cosmopolitan and have a bipolar, even global, distribution at the species level.</t>
  </si>
  <si>
    <t>Xiamen Univ, Sch Life Sci, Xiamen 361005, Peoples R China; State Ocean Adm, Polar Res Inst China, Key Lab Polar Sci, Shanghai 200136, Peoples R China</t>
  </si>
  <si>
    <t>Xiamen University; Polar Research Institute of China</t>
  </si>
  <si>
    <t>Zeng, YX (corresponding author), Xiamen Univ, Sch Life Sci, Xiamen 361005, Peoples R China.</t>
  </si>
  <si>
    <t>yxzeng@sina.com</t>
  </si>
  <si>
    <t>Zheng, TL/G-3974-2010</t>
  </si>
  <si>
    <t>210QH</t>
  </si>
  <si>
    <t>WOS:000249470200010</t>
  </si>
  <si>
    <t>Liu, JW; Jiao, NZ; Cai, HN; Hong, HS</t>
  </si>
  <si>
    <t>Liu, Jingwen; Jiao, Nianzhi; Cai, Huinong; Hong, Huasheng</t>
  </si>
  <si>
    <t>Effects of UVB on the expression of proliferating cell nuclear antigen (PCNA) in dinoflagellate Prorocentrum donghaiense Lu</t>
  </si>
  <si>
    <t>UVB radiation; proliferating cell nuclear antigen (PCNA); dinoflagellate Prorocentrum donghaiense Lu</t>
  </si>
  <si>
    <t>ULTRAVIOLET-B RADIATION; MARINE-PHYTOPLANKTON; OZONE DEPLETION; ANTARCTIC PHYTOPLANKTON; DNA-DAMAGE; BACILLARIOPHYCEAE; PHOTOSYNTHESIS; PROTEINS; GENE</t>
  </si>
  <si>
    <t>PCNA has been considered as a useful marker for the estimation of growth rates of marine phytoplankton at the species level. Since dinoflagellates are noted for having many prokaryotic features in that they are the only eukaryotes to have permanently condensed chromosomes as well as lacking histones and a nucleosome, the sensitivity to UVB radiation and the validity of PCNA as a maker of growth rate in dinoflagellate need to be evaluated. Prorocentrum donghaiense Lu was investigated to valuate the UVB sensitivity in relation to cellular and molecular aspects of PCNA as a growth indicator. The effects of UVB radiation on PCNA were studied using the methods of western blots technology and whole-cell immunoflurescence with one mono-antibody. UVB changed the cell morphology, halted the growth and increased the cell size, even caused cell death to a certain extent after treatment with UVB radiation in P. donghaiense. Compared with the control, treating the algal cultures in exponential phases with UVB radiation for 24 h caused chromatin release and increases in protein levels of PCNA.</t>
  </si>
  <si>
    <t>Xiamen Univ, State Key Lab Marine Environm Sci, Xiamen 361005, Peoples R China; Jimei Univ, Bioengn Sch, Xiamen 361021, Peoples R China</t>
  </si>
  <si>
    <t>Xiamen University; Jimei University</t>
  </si>
  <si>
    <t>Liu, JW (corresponding author), Xiamen Univ, State Key Lab Marine Environm Sci, Xiamen 361005, Peoples R China.</t>
  </si>
  <si>
    <t>jiao@xmu.edu.cn</t>
  </si>
  <si>
    <t>Hong, HS/G-3347-2010</t>
  </si>
  <si>
    <t>WOS:000249470200013</t>
  </si>
  <si>
    <t>Nitsche, F; Weitere, M; Scheckenbach, F; Hausmann, K; Wylezich, C; Arndt, H</t>
  </si>
  <si>
    <t>Nitsche, Frank; Weitere, Markus; Scheckenbach, Frank; Hausmann, Klaus; Wylezich, Claudia; Arndt, Hartmut</t>
  </si>
  <si>
    <t>Deep sea records of choanoflagellates with a description of two new species</t>
  </si>
  <si>
    <t>ACTA PROTOZOOLOGICA</t>
  </si>
  <si>
    <t>choanoflagellida; deep sea; Lagenoeca antarctica; sp n.; Salpingoeca abyssalis; phylogeny; SSU rDNA; abyssal plain; Antarctica</t>
  </si>
  <si>
    <t>EASTERN MEDITERRANEAN SEA; SEQUENCE ALIGNMENT; WATER-COLUMN; DIVERSITY; ABUNDANCE; SEDIMENTS; ATLANTIC</t>
  </si>
  <si>
    <t>Despite their high abundance and their high importance for the oceanic matter flux, heterotrophic nanoflagellates are only poorly studied in the deep-sea regions. Studies on the choanoflagellate distribution during two deep-sea expeditions, to the South Atlantic (5038 m) and Antarctica (Weddell Sea, 2551 m), revealed the deepest records of choanoflagellates so far. A new species, (Lagenoeca antarctica) with a conspicuous spike structure on the theca is described from deep Antarctic waters. Lagenoeca antarctica sp. n. is a solitary unstalked free living salpingoecid-like choanoflagellate. The protoplast is surrounded by a typical theca with unique spikes only visible in SEM micrographs. The ovoid cell nearly fills the whole theca and ranges in size from 4 to 6 mu m. The collar measures 2-3 mu m and the flagellum 3-5 mu m. A second species, Salpingoeca abyssalis sp. n., was isolated from the abyssal plain of the South Atlantic (5038 m depth). Floating and attached forms were observed. The protoplast ranges from to 2 to 4 pm in length and I to 2 pm in width. The collar is about the same length as the protoplast and the flagellum has 2 to 2.5 x the length of the protoplast. Phylogenetic analyses based on a fragment of SSU rDNA revealed Salpingoeca abyssalis to cluster together with a marine isolate of Salpingoeca infusionum while Lagenoeca antarctica clusters separately from the other codonosigid and salpingoecid taxa. Salpingoeca abyssalis and an undetermined Monosiga species seems to be the first choanoflagellate species recorded from the abyssal plain.</t>
  </si>
  <si>
    <t>Univ Cologne, D-50931 Cologne, Germany; Free Univ Berlin, Inst Biol Zool, Res Grp Protozool, D-1000 Berlin, Germany</t>
  </si>
  <si>
    <t>University of Cologne; Free University of Berlin</t>
  </si>
  <si>
    <t>Arndt, H (corresponding author), Univ Cologne, Weyertal 119, D-50931 Cologne, Germany.</t>
  </si>
  <si>
    <t>Hartmut.Arndt@uni-koeln.de</t>
  </si>
  <si>
    <t>Arndt, Hartmut/K-9364-2017</t>
  </si>
  <si>
    <t>Arndt, Hartmut/0000-0003-2811-3595; Wylezich, Claudia/0000-0002-0436-4480</t>
  </si>
  <si>
    <t>JAGIELLONIAN UNIV, INST ENVIRONMENTAL SCIENCES</t>
  </si>
  <si>
    <t>KRAKOW</t>
  </si>
  <si>
    <t>GRONOSTAJOWA 7, KRAKOW, 30-387, POLAND</t>
  </si>
  <si>
    <t>0065-1583</t>
  </si>
  <si>
    <t>ACTA PROTOZOOL</t>
  </si>
  <si>
    <t>Acta Protozool.</t>
  </si>
  <si>
    <t>207KF</t>
  </si>
  <si>
    <t>WOS:000249249300003</t>
  </si>
  <si>
    <t>Fan Ke; Wang Huijun</t>
  </si>
  <si>
    <t>Dust storms in North China in 2002: A case study of the low frequency oscillation</t>
  </si>
  <si>
    <t>ADVANCES IN ATMOSPHERIC SCIENCES</t>
  </si>
  <si>
    <t>dust storm events; low frequency oscillation; mean meridional circulation and local circulation; relationship</t>
  </si>
  <si>
    <t>OUTGOING LONGWAVE RADIATION; ANTARCTIC OSCILLATION; VARIABILITY; HEMISPHERE; PACIFIC; SUMMER; WINTER; MODES; WIND; MB</t>
  </si>
  <si>
    <t>The low frequency oscillation in both hemispheres and its possible role in the dust weather storm events over North China in 2002 are analyzed as a case study. Results show that the Aleutian Low is linked with the Circumpolar Vortex in the Southern Hemisphere on a 30-60-day oscillation, with a weak Circumpolar Vortex tending to deepen the Aleutian Low which may be helpful for the generation of dust storm events. The possible mechanism behind this is the inter-hemispheric interaction of the mean meridional circulation, with the major variability over East Asia. The zonal mean westerly wind at high latitudes of the Southern Hemisphere in the upper level troposphere may lead that of the Northern Hemisphere, which then impacts the local circulation in the Northern Hemisphere. Thus, the low frequency oscillation teleconnection is one possible linkage in the coupling between the Southern Hemisphere circulation and dust events over North China. However, the interannual variation of the low frequency oscillation is unclear.</t>
  </si>
  <si>
    <t>Chinese Acad Sci, Inst Atmospher Phys, Nansen Zhu Int Res Ctr, Beijing 100029, Peoples R China; Yunnan Univ, Dept Atmospher Sci, Kunming 650091, Peoples R China; Grad Univ Chinese Acad Sci, Beijing 100039, Peoples R China</t>
  </si>
  <si>
    <t>yang, li/F-2456-2013; Fan, K/GXH-3734-2022; Fan, Ke/AAJ-2315-2020</t>
  </si>
  <si>
    <t>0256-1530</t>
  </si>
  <si>
    <t>ADV ATMOS SCI</t>
  </si>
  <si>
    <t>Adv. Atmos. Sci.</t>
  </si>
  <si>
    <t>JAN</t>
  </si>
  <si>
    <t>10.1007/s00376-007-0015-z</t>
  </si>
  <si>
    <t>129CU</t>
  </si>
  <si>
    <t>WOS:000243706800002</t>
  </si>
  <si>
    <t>Lu, RY; Li, Y; Dong, BW</t>
  </si>
  <si>
    <t>Lu Riyu; Li Ying; Dong, Buwen</t>
  </si>
  <si>
    <t>Arctic oscillation and antarctic oscillation in internal atmospheric variability with an ensemble AGCM simulation</t>
  </si>
  <si>
    <t>internal atmospheric variability; North Atlantic Oscillation; Arctic Oscillation; Antarctic Oscillation; extratropical climate anomalies; East Asian winter monsoon</t>
  </si>
  <si>
    <t>NORTH-ATLANTIC OSCILLATION; ASIAN WINTER MONSOON; HEMISPHERE ANNULAR MODE; NCEP-NCAR REANALYSIS; EXTRATROPICAL CIRCULATION; POSSIBLE IMPACTS; SUMMER MONSOON; CLIMATE MODEL; EAST-ASIA; TRENDS</t>
  </si>
  <si>
    <t>In this study, we investigated the features of Arctic Oscillation (AO) and Antarctic Oscillation (AAO), that is, the annular modes in the extratropics, in the internal atmospheric variability attained through an ensemble of integrations by an atmospheric general circulation model (AGCM) forced with the global observed SSTs. We focused on the interannual variability of AO/AAO, which is dominated by internal atmospheric variability. In comparison with previous observed results, the AO/AAO in internal atmospheric variability bear some similar characteristics, but exhibit a much clearer spatial structure: significant correlation between the North Pacific and North Atlantic centers of action, much stronger and more significant associated precipitation anomalies, and the meridional displacement of upper-tropospheric westerly jet streams in the Northern/Southern Hemisphere. In addition, we examined the relationship between the North Atlantic Oscillation (NAO)/AO and East Asian winter monsoon (EAWM). It has been shown that in the internal atmospheric variability, the EAWM variation is significantly related to the NAO through upper-tropospheric atmospheric teleconnection patterns.</t>
  </si>
  <si>
    <t>Chinese Acad Sci, Inst Atmospher Phys, State Key Lab Numer Modeling Atmospher Sci &amp; Geop, Beijing 100029, Peoples R China; Chinese Acad Sci, Inst Atmospher Phys, Ctr Monsoon Syst Res, Beijing 100029, Peoples R China; Grad Univ Chinese Acad Sci, Beijing 100039, Peoples R China; Univ Reading, Dept Meteorol, Natl Ctr Atmospher Sci Climate, Ctr Global Atmospher Modelling, Reading RG6 2AH, Berks, England</t>
  </si>
  <si>
    <t>Chinese Academy of Sciences; Institute of Atmospheric Physics, CAS; Chinese Academy of Sciences; Institute of Atmospheric Physics, CAS; Chinese Academy of Sciences; University of Chinese Academy of Sciences, CAS; Met Office - UK; UK Research &amp; Innovation (UKRI); Natural Environment Research Council (NERC); NERC National Centre for Atmospheric Science; NERC National Centre for Earth Observation; University of Reading</t>
  </si>
  <si>
    <t>Lu, RY (corresponding author), Chinese Acad Sci, Inst Atmospher Phys, State Key Lab Numer Modeling Atmospher Sci &amp; Geop, Beijing 100029, Peoples R China.</t>
  </si>
  <si>
    <t>lr@mail.iap.ac.cn</t>
  </si>
  <si>
    <t>Dong, Buwen/0000-0003-0809-7911</t>
  </si>
  <si>
    <t>1861-9533</t>
  </si>
  <si>
    <t>10.1007/s00376-007-0152-4</t>
  </si>
  <si>
    <t>WOS:000243706800016</t>
  </si>
  <si>
    <t>Chown, SL; Terblanche, JS</t>
  </si>
  <si>
    <t>Simpson, SJ</t>
  </si>
  <si>
    <t>Chown, Steven L.; Terblanche, John S.</t>
  </si>
  <si>
    <t>Physiological diversity in insects: Ecological and evolutionary contexts</t>
  </si>
  <si>
    <t>ADVANCES IN INSECT PHYSIOLOGY, VOL 33</t>
  </si>
  <si>
    <t>Advances in Insect Physiology</t>
  </si>
  <si>
    <t>Review; Book Chapter</t>
  </si>
  <si>
    <t>HEAT-SHOCK-PROTEIN; GOLDENROD GALL FLY; TEMPERATURE-DEPENDENT BIOGEOGRAPHY; BENEFICIAL ACCLIMATION HYPOTHESIS; COLLEMBOLAN ONYCHIURUS-ARCTICUS; EUROSTA-SOLIDAGINIS DIPTERA; SUB-ANTARCTIC CATERPILLAR; WATER-VAPOR ABSORPTION; FREEZE-TOLERANT LARVAE; CRYPTOLESTES-FERRUGINEUS COLEOPTERA</t>
  </si>
  <si>
    <t>Univ Stellenbosch, Dept Bot &amp; Zool, Ctr Invas Biol, ZA-7602 Mattieland, South Africa</t>
  </si>
  <si>
    <t>Chown, SL (corresponding author), Univ Stellenbosch, Dept Bot &amp; Zool, Ctr Invas Biol, Private Bag X 1, ZA-7602 Mattieland, South Africa.</t>
  </si>
  <si>
    <t>Chown, Steven/ABD-7646-2021; Chown, Steven L/H-3347-2011; Terblanche, John/AAB-4457-2020</t>
  </si>
  <si>
    <t>Terblanche, John/0000-0001-9665-9405</t>
  </si>
  <si>
    <t>ACADEMIC PRESS LTD-ELSEVIER SCIENCE LTD</t>
  </si>
  <si>
    <t>125 LONDON WALL, LONDON EC2Y 5AS, ENGLAND</t>
  </si>
  <si>
    <t>0065-2806</t>
  </si>
  <si>
    <t>2213-6800</t>
  </si>
  <si>
    <t>978-0-12-373715-1</t>
  </si>
  <si>
    <t>ADV INSECT PHYSIOL</t>
  </si>
  <si>
    <t>Adv. Insect Physiol.</t>
  </si>
  <si>
    <t>Book Citation Index – Science (BKCI-S); Science Citation Index Expanded (SCI-EXPANDED)</t>
  </si>
  <si>
    <t>BGD64</t>
  </si>
  <si>
    <t>WOS:000246176600002</t>
  </si>
  <si>
    <t>Fraser, KPP; Rogers, AD</t>
  </si>
  <si>
    <t>Sims, DW</t>
  </si>
  <si>
    <t>Fraser, Keiron P. P.; Rogers, Alex D.</t>
  </si>
  <si>
    <t>Protein metabolism in marine animals: The underlying mechanism of growth</t>
  </si>
  <si>
    <t>ADVANCES IN MARINE BIOLOGY, VOL 52</t>
  </si>
  <si>
    <t>Advances in Marine Biology</t>
  </si>
  <si>
    <t>TROUT ONCORHYNCHUS-MYKISS; COD GADUS-MORHUA; SAITHE POLLACHIUS-VIRENS; ATP-CONSUMING PROCESSES; AMINO-ACID UTILIZATION; SEA-URCHIN EMBRYOS; SALMO-SALAR L.; RAINBOW-TROUT; DIETARY-PROTEIN; GENE-EXPRESSION</t>
  </si>
  <si>
    <t>Growth is a fundamental process within all marine organisms. In soft tissues, growth is primarily achieved by the synthesis and retention of proteins as protein growth. The protein pool (all the protein within the organism) is highly dynamic, with proteins constantly entering the pool via protein synthesis or being removed from the pool via protein degradation. Any net change in the size of the protein pool, positive or negative, is termed protein growth. The three inter-related processes of protein synthesis, degradation and growth are together termed protein metabolism. Measurement of protein metabolism is vital in helping us understand how biotic and abiotic factors affect growth and growth efficiency in marine animals. Recently, the developing fields of transcrimomics and proteomics have started to offer us a means of greatly increasing our knowledge of the underlying molecular control of protein metabolism. Transcriptomics may also allow us to detect subtle, changes in gene expression associated with protein synthesis and degradation, which cannot be detected using classical methods. A large literature exists on protein metabolism in animals; however, this chapter concentrates on what we know of marine ectotherms; data from non-marine ectotherms and endotherms are only discussed when the data are of particular relevance. We first consider the techniques available to measure protein metabolism, their problems and what validation is required. Protein metabolism in marine organisms is highly sensitive to a wide variety of factors, including temperature, pollution, seasonality, nutrition, developmental stage, genetics, sexual maturation and moulting. We examine horn these abiotic and biotic factors affect protein metabolism at the level of whole-animal (adult and larval), tissue and cellular protein metabolism. Available gene expression data, which help us understand the underlying control of protein metabolism, are also discussed. As protein metabolism appears to comprise a significant proportion of overall metabolic costs in marine organisms, accurate estimates of the energetic cost per unit of synthesised protein are important. Measured costs of protein metabolism are reviewed, and the very high variability in reported costs highlighted. Two major determinants of protein synthesis rates are the tissue concentration of RNA, often expressed as the RNA to protein ratio, and the RNA activity (kRNA). The effects of temperature, nutrition and developmental stage on RNA concentration and activity are considered. This chapter highlights our complete lack of knowledge of protein metabolism in many groups of marine organisms, and the fact we currently have only limited data for animals held under a narrow range of experimental conditions. The potential assistance that genomic methods may provide in increasing our understanding of' protein metabolism is described.</t>
  </si>
  <si>
    <t>NERC, British Antarctic Survey, Cambridge CB3 0ET, England</t>
  </si>
  <si>
    <t>Fraser, KPP (corresponding author), NERC, British Antarctic Survey, Cambridge CB3 0ET, England.</t>
  </si>
  <si>
    <t>Fraser, Keiron/0000-0001-5491-8376; Rogers, Alex David/0000-0002-4864-2980</t>
  </si>
  <si>
    <t>Natural Environment Research Council [NE/C506321/1, bas010015] Funding Source: researchfish</t>
  </si>
  <si>
    <t>ELSEVIER ACADEMIC PRESS INC</t>
  </si>
  <si>
    <t>525 B STREET, SUITE 1900, SAN DIEGO, CA 92101-4495 USA</t>
  </si>
  <si>
    <t>0065-2881</t>
  </si>
  <si>
    <t>978-0-12-373718-2</t>
  </si>
  <si>
    <t>ADV MAR BIOL</t>
  </si>
  <si>
    <t>Adv. Mar. Biol.</t>
  </si>
  <si>
    <t>10.1016/S0065-2881(06)52003-6</t>
  </si>
  <si>
    <t>BFV59</t>
  </si>
  <si>
    <t>WOS:000244865400003</t>
  </si>
  <si>
    <t>Vashenyuk, EV; Balabin, YV; Stoker, PH</t>
  </si>
  <si>
    <t>Vashenyuk, E. V.; Balabin, Yu. V.; Stoker, P. H.</t>
  </si>
  <si>
    <t>Responses to solar cosmic rays of neutron monitors of a various design</t>
  </si>
  <si>
    <t>ADVANCES IN SPACE RESEARCH</t>
  </si>
  <si>
    <t>cosmic rays; solar cosmic rays; yield function; response of neutron monitor</t>
  </si>
  <si>
    <t>DAWN-DUSK ASYMMETRY; MAGNETOSPHERE; MODEL</t>
  </si>
  <si>
    <t>The modeled and observed responses of neutron monitors of two various types: the standard 3-NM-64 and a leadless neutron moderated detector 4NMD at the SANAE South African Antarctic station during a number of large GLE events were compared to precise the specific yield of the NMD at low rigidity range. The parameters of primary relativistic solar protons outside magnetosphere: rigidity spectrum, anisotropy direction and pitch angle distribution were determined on data of the worldwide NM-64 neutron monitor network by modeling technique. The modeling included: definition of asymptotic viewing cones of the neutron monitor (NM) stations under study by the particle trajectory computations in a model magnetosphere [Tsyganenko, N.A. A model of the near magnetosphere with a down-dusk asymmetry: 1. Mathematical structure. Geophys. Res. 107(A8) 1176, doi: 10.101029/2001JA000219, 2002a; Tsyganenko, N.A. A model of the near magnetosphere with a down-dusk asymmetry: 2. Parameterization and fitting to observations. J. Geophys. Res. 107(A8) 1179, doi: 10.1029/2001JA000220, 2002b.]; calculation of the NM responses at variable primary solar proton flux parameters; determination of primary solar proton parameters outside the magnetosphere by a least square procedure at comparison of computed NM responses with observations. Then the response of both neutron monitors NM-64 and leadless NMD was calculated using the specific yield functions obtained earlier in the latitude and high-altitude survey of both instruments [Stoker, P.H. Spectra of solar proton ground level events using neutron monitor and neutron moderated detector recordings. in: Proc. 19th ICRC La Jolla, vol. 4, pp. 114-117, 1985; Stoker, P.H. Relativistic solar proton events, Space Sci. Rev. 73, 327-385, 1994.]. By fitting modeled responses to observations in a number of large GLEs the specific yield function for the NMD detector was adjusted so that it precisely described the response to solar cosmic rays. (C) 2007 Published by Elsevier Ltd on behalf of COSPAR.</t>
  </si>
  <si>
    <t>[Vashenyuk, E. V.; Balabin, Yu. V.] Polar Geophys Inst, Apatity 184209, Murmansk Region, Russia; [Stoker, P. H.] NW Univ, Unit Space Phys, ZA-2520 Potchefstroom, South Africa</t>
  </si>
  <si>
    <t>Russian Academy of Sciences; Polar Geophysical Institute; North West University - South Africa</t>
  </si>
  <si>
    <t>Vashenyuk, EV (corresponding author), Polar Geophys Inst, Apatity 184209, Murmansk Region, Russia.</t>
  </si>
  <si>
    <t>vashenyuk@pgi.kolsac.net.ru; balabin@pgi.kolsac.net.ru</t>
  </si>
  <si>
    <t>Balabin, Yury/F-1173-2017; Balabin, Yuri/F-4168-2017</t>
  </si>
  <si>
    <t>Balabin, Yury/0000-0002-1168-5506; Balabin, Yuri/0000-0002-1256-6728</t>
  </si>
  <si>
    <t>0273-1177</t>
  </si>
  <si>
    <t>1879-1948</t>
  </si>
  <si>
    <t>ADV SPACE RES</t>
  </si>
  <si>
    <t>Adv. Space Res.</t>
  </si>
  <si>
    <t>10.1016/j.asr.2007.05.018</t>
  </si>
  <si>
    <t>Engineering, Aerospace; Astronomy &amp; Astrophysics; Geosciences, Multidisciplinary; Meteorology &amp; Atmospheric Sciences</t>
  </si>
  <si>
    <t>Engineering; Astronomy &amp; Astrophysics; Geology; Meteorology &amp; Atmospheric Sciences</t>
  </si>
  <si>
    <t>268OP</t>
  </si>
  <si>
    <t>WOS:000253589400007</t>
  </si>
  <si>
    <t>Yeoman, TK; Blagoveshchenskaya, N; Kornienko, V; Robinson, TR; Dhillon, RS; Wright, DM; Baddeley, LJ</t>
  </si>
  <si>
    <t>Yeoman, T. K.; Blagoveshchenskaya, N.; Kornienko, V.; Robinson, T. R.; Dhillon, R. S.; Wright, D. M.; Baddeley, L. J.</t>
  </si>
  <si>
    <t>SPEAR: Early results from a very high latitude ionospheric heating facility</t>
  </si>
  <si>
    <t>active experiments; high latitude ionosphere; radiowave propagation</t>
  </si>
  <si>
    <t>FIELD-ALIGNED IRREGULARITIES; POWER RADIO-WAVES; RADAR BACKSCATTER; CUTLASS; TROMSO; DIAGNOSTICS; SUPERDARN; RESONANCE</t>
  </si>
  <si>
    <t>Early results are presented from high power ionospheric modification experiments with the SPEAR (Space Plasma Exploration by Active Radar) HF facility, which is used to generate artificial field-aligned irregularities (AFAI) in the polar cap ionosphere. These AFAIs are detected both through HF coherent backscatter radar and bistatic HF Doppler experiments. The AFAIs created with SPEAR are demonstrated to provide an important geophysical diagnostic of the polar cap ionospheric electric field, and may also scatter radio waves out of the ionospheric waveguide, even when they have propagated over very considerable distances. (C) 2007 COSPAR. Published by Elsevier Ltd. All rights reserved.</t>
  </si>
  <si>
    <t>[Yeoman, T. K.; Robinson, T. R.; Dhillon, R. S.; Wright, D. M.; Baddeley, L. J.] Univ Leicester, Dept Phys &amp; Astron, Leicester LE1 7RH, Leics, England; [Blagoveshchenskaya, N.; Kornienko, V.] Arctic &amp; Antarctic Res Inst, St Petersburg 199397, Russia</t>
  </si>
  <si>
    <t>University of Leicester; Arctic &amp; Antarctic Research Institute</t>
  </si>
  <si>
    <t>Yeoman, TK (corresponding author), Univ Leicester, Dept Phys &amp; Astron, Leicester LE1 7RH, Leics, England.</t>
  </si>
  <si>
    <t>tim.yeoman@ion.le.ac.uk</t>
  </si>
  <si>
    <t>Blagoveshchenskaya, Nataly/AAE-4093-2022; Blagoveshchenskaya, Nataly F./S-4342-2017; Yeoman, Timothy k/L-9105-2014; Baddeley, Lisa/ABD-4414-2020</t>
  </si>
  <si>
    <t>Blagoveshchenskaya, Nataly/0000-0003-1752-3273; Blagoveshchenskaya, Nataly F./0000-0003-1752-3273; Yeoman, Timothy k/0000-0002-8434-4825; Baddeley, Lisa/0000-0003-1246-0488</t>
  </si>
  <si>
    <t>STFC [PP/E007929/1] Funding Source: UKRI; Science and Technology Facilities Council [PP/E007929/1] Funding Source: researchfish</t>
  </si>
  <si>
    <t>STFC(UK Research &amp; Innovation (UKRI)Science &amp; Technology Facilities Council (STFC)); Science and Technology Facilities Council(UK Research &amp; Innovation (UKRI)Science &amp; Technology Facilities Council (STFC))</t>
  </si>
  <si>
    <t>10.1016/j.asr.2007.02.059</t>
  </si>
  <si>
    <t>WOS:000253589400014</t>
  </si>
  <si>
    <t>Tinsley, BA; Burns, GB; Zhou, L</t>
  </si>
  <si>
    <t>Tinsley, Brian A.; Burns, G. B.; Zhou, Limin</t>
  </si>
  <si>
    <t>The role of the global electric circuit in solar and internal forcing of clouds and climate</t>
  </si>
  <si>
    <t>global electric circuit; climate; cloud microphysics; cosmic rays</t>
  </si>
  <si>
    <t>EARTH CURRENT-DENSITY; ATMOSPHERIC ELECTRICITY; TROPOSPHERIC VORTICITY; FORBUSH-DECREASES; MISSING LINK; COSMIC-RAYS; WIND; VARIABILITY; IONIZATION; CONNECTION</t>
  </si>
  <si>
    <t>Reports of a variety of short-term meteorological responses to changes in the global electric circuit associated with a set of disparate inputs are analyzed. The meteorological responses consist of changes in cloud cover, atmospheric temperature, pressure, or dynamics. All of these are found to be responding to changes in a key linking agent, that of the downward current density, J(z), that flows from the ionosphere through the troposphere to the surface (ocean and land). As it flows through layer clouds, J(z) generates space charge in conductivity gradients at the upper and lower boundaries, and this electrical charge is capable of affecting the microphysical interactions between droplets and both ice-forming nuclei and condensation nuclei. Four short-term inputs to the global circuit are due to solar activity and consist of (1) Forbush decreases of the galactic cosmic ray flux; (2) solar energetic particle events; (3) relativistic electron precipitation changes; and (4) polar cap ionospheric convection potential changes. One input that is internal to the global circuit consists of (5) global ionospheric potential changes due to changes in the current output of the highly electrified clouds (mainly deep convective clouds at low latitudes) that act as generators for the circuit. The observed short-term meteorological responses to these five inputs are of small amplitude but high statistical significance for repeated J(z) changes of order 5% for low latitudes increasing to 25-30% at high latitudes. On the timescales of multidecadal solar minima, such as the Maunder minimum, changes in tropospheric dynamics and climate related to J(z) are also larger at high latitudes, and correlate with the lower energy component (similar to 1 GeV) of the cosmic ray flux increasing by as much as a factor of two relative to present values. Also, there are comparable cosmic ray flux changes and climate responses on millennial timescales. The persistence of the longer-term J(z) changes for many decades to many centuries would produce an integrated effect on climate that could dominate over short-term weather and climate variations, and explain the observed correlations. Thus, we propose that mechanisms responding to J(z) are a candidate for explanations of sun-weather-climate correlations on multidecadal to millenial timescales, as well as on the day-to-day timescales analyzed here. (c) 2007 COSPAR. Published by Elsevier Ltd. All rights reserved.</t>
  </si>
  <si>
    <t>[Tinsley, Brian A.; Zhou, Limin] Univ Texas Richardson, Richardson, TX 75083 USA; [Burns, G. B.] Australian Antarctic Div, Kingston, Tas 7050, Australia; [Zhou, Limin] Chinese Acad Sci, Inst Geochem, State Key Lab Environm Geochem, Guiyang, Peoples R China</t>
  </si>
  <si>
    <t>University of Texas System; University of Texas Dallas; Australian Antarctic Division; Chinese Academy of Sciences; Institute of Geochemistry, CAS</t>
  </si>
  <si>
    <t>Tinsley, BA (corresponding author), Univ Texas Richardson, WT15,Box 830688, Richardson, TX 75083 USA.</t>
  </si>
  <si>
    <t>Tinsley@UTDallas.edu; Gary.Burns@aad.gov.au</t>
  </si>
  <si>
    <t>周, 丽敏/JEO-3613-2023</t>
  </si>
  <si>
    <t>10.1016/j.asr.2007.01.071</t>
  </si>
  <si>
    <t>268OT</t>
  </si>
  <si>
    <t>WOS:000253589800035</t>
  </si>
  <si>
    <t>Onofri, S; Seltimann, L; de Hoog, GS; Grube, M; Barreca, D; Ruisi, S; Zucconi, L</t>
  </si>
  <si>
    <t>Onofri, S.; Seltimann, L.; de Hoog, G. S.; Grube, M.; Barreca, D.; Ruisi, S.; Zucconi, L.</t>
  </si>
  <si>
    <t>Evolution and adaptation of fungi at boundaries of life</t>
  </si>
  <si>
    <t>antarctica; rock black fungi; cold-tolerance; cryo-resistance; osmotic stress; UV-B; exobiology</t>
  </si>
  <si>
    <t>TO-CONSUMER RATIO; MICROCOLONIAL FUNGI; UV-B; TEMPERATURE OPTIMA; COMMUNITIES ADJUST; ANTARCTIC FUNGUS; VICTORIA LAND; LICHENS; TERRESTRIAL; SURVIVAL</t>
  </si>
  <si>
    <t>The Antarctic cryptoendolithic fungi of the ice-free desert could have evolved genetically and geographically isolated since the separation of the Continent from the Gondwanaland. The resulting harsh environmental conditions due to the migration of Antarctica to the South Pole led to a strong selective pressure possibly promoting adaptive radiation and speciation. Microorganisms evolved during this unique process are adapted to colonize what is known as the closest Martian environment on Earth. For this reason they have been already suggested as the best eukaryotic model for exobiological speculations. The results on freeze and thawing, UV exposure and osmotic stress tolerance here reported highlight an uncommon ability of surviving under these external pressures. Studies on their ability to withstand space conditions are in progress in view of the opportunity of direct space exposure on the International Space Station. The results could give new tools to solve the conflict concerning the Panspermia hypothesis. (c) 2007 COSPAR. Published by Elsevier Ltd. All rights reserved.</t>
  </si>
  <si>
    <t>[Onofri, S.; Seltimann, L.; Barreca, D.; Ruisi, S.; Zucconi, L.] Univ Tuscia, Dipartimento Ecol &amp; Suilippo Econ Sostenible, I-01100 Viterbo, Italy; [de Hoog, G. S.] Cent Bur Schimmelcultures, NL-3508 AD Utrecht, Netherlands; [Grube, M.] Graz Univ, Inst Pflanzenwissensch, A-8010 Graz, Austria</t>
  </si>
  <si>
    <t>Tuscia University; University of Graz</t>
  </si>
  <si>
    <t>Onofri, S (corresponding author), Univ Tuscia, Dipartimento Ecol &amp; Suilippo Econ Sostenible, I-01100 Viterbo, Italy.</t>
  </si>
  <si>
    <t>oncifri@unitus.it</t>
  </si>
  <si>
    <t>Zucconi, L./U-9781-2018</t>
  </si>
  <si>
    <t>Zucconi, L./0000-0001-9793-2303; ONOFRI, Silvano/0000-0001-8872-1440; Grube, Martin/0000-0001-6940-5282</t>
  </si>
  <si>
    <t>10.1016/j.asr.2007.06.004</t>
  </si>
  <si>
    <t>268OX</t>
  </si>
  <si>
    <t>WOS:000253590200015</t>
  </si>
  <si>
    <t>Srivastava, SK; Cote, S; Le Dantec, P; Hawkins, RK; Murnaghan, K</t>
  </si>
  <si>
    <t>Srivastava, S. K.; Cote, S.; Le Dantec, P.; Hawkins, R. K.; Murnaghan, K.</t>
  </si>
  <si>
    <t>RADARSAT-1 calibration and image quality evolution to the extended mission</t>
  </si>
  <si>
    <t>SAR; RADARSAT; calibration; amazon; image; radiometry; quality</t>
  </si>
  <si>
    <t>Since its launch on November 4, 1995 and the start of the routine operation on April 1, 1996, RADARSAT-1, the first Canadian Synthetic Aperture Radar (SAR) remote sensing satellite, has provided calibrated data to worldwide users for their intended applications. From the early qualification stages of the mission, both single beams and ScanSAR operating modes are monitored routinely for radiometric calibration performance using images of the Amazon Rainforest, and for image quality performance using images of RADARSAT-1 Precision Transponders. After the initial Calibration Phase and the Antarctic Mapping Mission in 1997, a systematic calibration monitoring strategy showed changes in the characteristics of several previously calibrated elevation antenna patterns. Compensations for these changes are made in the processor by re-calibrating the beams. In addition, a major upgrade of the ScanSAR processor completed at the Canadian Data Processing Facility (CDPF) in 2002 yielded to significant improvements in image quality and radiometry. Throughout the nominal mission life of 5 years and the 3 years of the current extended mission, which started in early 2001, the Canadian Data Processing Facility continued to provide radiometrically and geometrically calibrated RADARSAT-1 products to users. In late October 2000, concerns began to rise of the possibility Of failure of the Horizon Scanner 1, which would result in operating the spacecraft in a mode known as 'Attitude Determination Method 3' (ADM3), causing a decrease in attitude control performance of the spacecraft compared to the current operation in primary ADM L Experiments were conducted to better understand the impact on processing and image quality when in ADM3 mode. No major impact on image quality was noticed with adapted re-processing. In mid 2002, due to aging considerations for the On-Board Recorder, natural sites within Canadian data reception masks have been envisioned for their potential to support radiometric analyses, as an alternative to the Amazon Rainforest where images are recorded. From several sites, a Boreal Forest location near Hearst, Ontario, Canada was chosen for testing radiometric measurements, using specific beams to cover the entire range of incidence angles. (c) 2006 COSPAR. Published by Elsevier Ltd. All rights reserved.</t>
  </si>
  <si>
    <t>[Srivastava, S. K.; Cote, S.; Le Dantec, P.] Canadian Space Agcy, St Hubert, PQ J3Y 8Y9, Canada; [Hawkins, R. K.; Murnaghan, K.] Canada Ctr Remote Sensing, Ottawa, ON K1A 0Y7, Canada</t>
  </si>
  <si>
    <t>Canadian Space Agency; Natural Resources Canada; Strategic Policy &amp; Results Sector - Natural Resources Canada; Canada Centre for Mapping &amp; Earth Observation (CCMEO)</t>
  </si>
  <si>
    <t>Srivastava, SK (corresponding author), Canadian Space Agcy, 6767 Route Aerport, St Hubert, PQ J3Y 8Y9, Canada.</t>
  </si>
  <si>
    <t>satish.srivastava@space.gc.ca</t>
  </si>
  <si>
    <t>10.1016/j.asr.2006.02.027</t>
  </si>
  <si>
    <t>286BS</t>
  </si>
  <si>
    <t>WOS:000254821000003</t>
  </si>
  <si>
    <t>Makarova, LN; Shirochkov, AV; Tumanov, IL</t>
  </si>
  <si>
    <t>Makarova, L. N.; Shirochkov, A. V.; Tumanov, I. L.</t>
  </si>
  <si>
    <t>Relation between the electromagnetic processes in the near-Earth space and dynamics of the biological resources in Russian Arctic</t>
  </si>
  <si>
    <t>biological resources; solar activity; solar wind dynamic pressure; Arctic fauna; long-term variations</t>
  </si>
  <si>
    <t>The start of the satellite era in the Space explorations led to new and more profound knowledge of the solar physics and the sources of its activity. From these points of view, it is worthy to examine again the relations between biological processes and the solar activity. We explore the relation between dynamics of the solar activity (including the solar wind) and changes in population of some species of Arctic fauna (lemmings, polar foxes, caribous, wolves, elks, etc.). The data include statistical rows of various lengths (30-80 years). The best correlation between two data sets is found when the solar wind dynamic pressure as well as variations of the total solar irradiance (i.e., level of the solar UV radiation) is taken as the space parameters. Probably the electromagnetic fields of space origin are an important factor determining dynamics of population of the Arctic fauna species. (C) 2006 COSPAR. Published by Elsevier Ltd. All rights reserved.</t>
  </si>
  <si>
    <t>[Makarova, L. N.; Shirochkov, A. V.; Tumanov, I. L.] Arctic &amp; Antarctic Res Inst, St Petersburg 199397, Russia</t>
  </si>
  <si>
    <t>Makarova, LN (corresponding author), Arctic &amp; Antarctic Res Inst, St Petersburg 199397, Russia.</t>
  </si>
  <si>
    <t>shirmak@aari.nw.ru</t>
  </si>
  <si>
    <t>Tumanov, Igor/AAC-5472-2021</t>
  </si>
  <si>
    <t>10.1016/j.asr.2006.02.023</t>
  </si>
  <si>
    <t>WOS:000254821000029</t>
  </si>
  <si>
    <t>Illés-Almár, E</t>
  </si>
  <si>
    <t>Illes-Almar, E.</t>
  </si>
  <si>
    <t>Comet Borrelly and the two kinds of cometary sub-nuclei</t>
  </si>
  <si>
    <t>comet Borrelly; cometary sub-nuclei; comets; cometary nuclei</t>
  </si>
  <si>
    <t>If we accept the hypothesis, that cometary nuclei may essentially be aggregates of sub-nuclei [Weissman, P.R., Are cometary nuclei primordial rubble piles? Nature 320, 242-244, 1986.], several independent kinds of observational facts point to the possibility, that there are at least two populations of sub-nuclei, and they can be mixed in the nucleus of a comet [Illes-Almar, E., On two different populations of cometary sub-nuclei, Antarctic Meteorites XX, June 6-8, Tokyo. Abstracts, pp. 93-94, 1995]. One kind of the sub-nuclei could be loose aggregates from fluffy material, while the other one may be more compact and cohesive. (C) 2007 COSPAR. Published by Elsevier Ltd. All rights reserved.</t>
  </si>
  <si>
    <t>Konkoly Observ Budapest, H-1525 Budapest, Hungary</t>
  </si>
  <si>
    <t>Hungarian Research Network; Hungarian Academy of Sciences; Hungarian Research Centre for Astronomy &amp; Earth Sciences</t>
  </si>
  <si>
    <t>Illés-Almár, E (corresponding author), Konkoly Observ Budapest, Box 67, H-1525 Budapest, Hungary.</t>
  </si>
  <si>
    <t>illes@konkoly.hu</t>
  </si>
  <si>
    <t>10.1016/j.asr.2007.04.001</t>
  </si>
  <si>
    <t>286BX</t>
  </si>
  <si>
    <t>WOS:000254821500018</t>
  </si>
  <si>
    <t>Duprat, J; Engrand, C; Maurette, M; Kurat, G; Gounelle, M; Hammer, C</t>
  </si>
  <si>
    <t>Duprat, J.; Engrand, C.; Maurette, M.; Kurat, G.; Gounelle, M.; Hammer, C.</t>
  </si>
  <si>
    <t>Micrometeorites from central antarctic snow: The CONCORDIA collection</t>
  </si>
  <si>
    <t>dust grains; micrometeorites; interplanetary dust particles; meteors showers; terrestrial weathering</t>
  </si>
  <si>
    <t>COSMIC DUST; ACCRETION RATE; ICE; MINERALOGY; SPHERULES; ISOTOPE; GRAINS; COMETS</t>
  </si>
  <si>
    <t>We recovered micrometeorites from surface snow layers near the French-Italian station CONCORDIA. The unique weather and isolation conditions of Dome C allowed us to recover micrometeorites that are much better preserved than those extracted from blue ice fields. We have identified a new population of friable fine-grained micrometeorites; the absence of such particles in previous collections can be explained by their destruction by mechanical processes. In contrast to previous collections of micrometeorites, the particles from CONCORDIA Collection are characterized by a high content of Fe-sulfides and an undepleted. CI elemental abundance pattern of their fine-grained matrix. These features suggest that micrometeorites from Dome C snow have endured much lower alteration from terrestrial weathering, unlike the micrometeorites recovered from near the margin of the Antarctic ice sheet (Adelie Land). The CONCORDIA particles have well constrained terrestrial ages and, given the low Dome C precipitation rate, the central regions of Antarctica provide a unique opportunity to search for particles from historical meteor showers. (c) 2006 COSPAR. Published by Elsevier Ltd. All rights reserved.</t>
  </si>
  <si>
    <t>[Duprat, J.; Engrand, C.; Maurette, M.; Gounelle, M.] CSNSM, F-91406 Orsay, France; [Kurat, G.] Univ Vienna, Inst F Geolog Wissensch, A-1090 Vienna, Austria; [Hammer, C.] Niels Bohr Inst, Dept Geophys, DK-2100 Copenhagen, Denmark</t>
  </si>
  <si>
    <t>Universite Paris Saclay; University of Vienna; University of Copenhagen; Niels Bohr Institute</t>
  </si>
  <si>
    <t>Duprat, J (corresponding author), CSNSM, Bat 104, F-91406 Orsay, France.</t>
  </si>
  <si>
    <t>duprat@csnsm.in2p3.fr</t>
  </si>
  <si>
    <t>10.1016/j.asr.2006.05.029</t>
  </si>
  <si>
    <t>267DD</t>
  </si>
  <si>
    <t>WOS:000253488800015</t>
  </si>
  <si>
    <t>Liberski, PP; Smolen, J; Wasik, TJ; Sikorska, B; Bratosiewicz-Wasik, J</t>
  </si>
  <si>
    <t>Liberski, Pawe P.; Smolen, Joanna; Wasik, Tomasz J.; Sikorska, Beata; Bratosiewicz-Wasik, Jolanta</t>
  </si>
  <si>
    <t>Rabies</t>
  </si>
  <si>
    <t>AKTUALNOSCI NEUROLOGICZNE</t>
  </si>
  <si>
    <t>Polish</t>
  </si>
  <si>
    <t>rabies; encephalitides; neuropathology; Rhabdoviridae; Negri bodies</t>
  </si>
  <si>
    <t>Rabies is a fatal disease (50 000 death in the third Word countries) caused by a virus from a family Rhabdoviridae ( from a Greek noun rhabdos - a rod). A virus, cause rabies, demonstrated a characteristic bullet-like shape. Human beings are infected by rabid animal bite (dogs or foxes); there is a possibility of infection through the aerosols in caves invested by carnivorous bats. The virus is ubiquitous; the exceptions are: Antarctic, the British Isles, Ireland, Island, New Zealand, Hawaii, Bahamas and Bermudas. In the Western countries and the USA, also in Poland, the prevalence of rabies is low (1 case in the USA in 1998 and 4 in 1997), but in countries like India or Mexico, the prevalence is in a range of 3.3/105 and thousand of deaths every year (mainly in India). About 50% of cases of rabies is diagnosed in boys under 15. Neuropathologic study reveals features of encephalitis; cytoplasmic Negri bodies are present within the neurons.</t>
  </si>
  <si>
    <t>[Liberski, Pawe P.; Smolen, Joanna; Wasik, Tomasz J.; Sikorska, Beata; Bratosiewicz-Wasik, Jolanta] UML, Zaklad Patol Mol Neuropatol Katedry Onkol, Ul Czechoslowacka 8-10, PL-92216 Lodz, Poland</t>
  </si>
  <si>
    <t>Liberski, PP (corresponding author), UML, Zaklad Patol Mol Neuropatol Katedry Onkol, Ul Czechoslowacka 8-10, PL-92216 Lodz, Poland.</t>
  </si>
  <si>
    <t>Wasik, Tomasz J./0000-0001-6525-9767; Bratosiewicz-Wasik, Jolanta/0000-0003-2909-4955</t>
  </si>
  <si>
    <t>MEDICAL COMMUNICATIONS</t>
  </si>
  <si>
    <t>WARSZAWA</t>
  </si>
  <si>
    <t>UL POWSINSKA 34, WARSZAWA, 02903, POLAND</t>
  </si>
  <si>
    <t>1641-9227</t>
  </si>
  <si>
    <t>AKTUAL NEUROL</t>
  </si>
  <si>
    <t>Aktual. Neurol.</t>
  </si>
  <si>
    <t>Clinical Neurology</t>
  </si>
  <si>
    <t>V7N7B</t>
  </si>
  <si>
    <t>WOS:000421125800006</t>
  </si>
  <si>
    <t>Gilbert, C; Le Maho, Y; Perret, M; Ancel, A</t>
  </si>
  <si>
    <t>Gilbert, Caroline; Le Maho, Yvon; Perret, Martine; Ancel, Andre</t>
  </si>
  <si>
    <t>Body temperature changes induced by huddling in breeding male emperor penguins</t>
  </si>
  <si>
    <t>huddling; energy saving; hypothermia; emperor penguins; Antarctica</t>
  </si>
  <si>
    <t>METABOLIC-RATE; DAILY TORPOR; APTENODYTES-FORSTERI; ENERGY-EXPENDITURE; COLD SENSITIVITY; SEA-ICE; HYPOTHERMIA; HIBERNATION; ENDOTHERMS; LOCOMOTION</t>
  </si>
  <si>
    <t>Huddling is the key energy-saving mechanism for emperor penguins to endure their 4-mo incubation fast during the Antarctic winter, but the underlying physiological mechanisms of this energy saving have remained elusive. The question is whether their deep body (core) temperature may drop in association with energy sparing, taking into account that successful egg incubation requires a temperature of about 36 degrees C and that ambient temperatures of up to 37.5 degrees C may be reached within tight huddles. Using data loggers implanted into five unrestrained breeding males, we present here the first data on body temperature changes throughout the breeding cycle of emperor penguins, with particular emphasis on huddling bouts. During the pairing period, core temperature decreased progressively from 37.5 +/- 0.4 degrees C to 36.5 +/- 0.3 degrees C, associated with a significant temperature drop of 0.5 +/- 0.3 degrees C during huddling. In case of egg loss, body temperature continued to decrease to 35.5 +/- 0.4 degrees C, with a further 0.9 degrees C decrease during huddling. By contrast, a constant core temperature of 36.9 +/- 0.2 degrees C was maintained during successful incubation, even during huddling, suggesting a trade-off between the demands for successful egg incubation and energy saving. However, such a limited drop in body temperature cannot explain the observed energy savings of breeding emperor penguins. Furthermore, we never observed any signs of hyperthermia in huddling birds that were exposed to ambient temperatures as high as above 35 degrees C. We suggest that the energy savings of huddling birds is due to a metabolic depression, the extent of which depends on a reduction of body surface areas exposed to cold.</t>
  </si>
  <si>
    <t>CNRS, Dept Ecol Physiol &amp; Ethol, Inst Pluridisciplinaire Hubert Curien, UMR 7178, F-67087 Strasbourg 02, France; Univ Strasbourg, F-67070 Strasbourg, France; CNRS, Dept Ecol &amp; Gest Biodivers, UMR 5176, Brunoy, France; Museum Natl Hist Nat, Brunoy, France</t>
  </si>
  <si>
    <t>Universites de Strasbourg Etablissements Associes; Universite de Strasbourg; Centre National de la Recherche Scientifique (CNRS); CNRS - National Institute of Nuclear and Particle Physics (IN2P3); Universites de Strasbourg Etablissements Associes; Universite de Strasbourg; Centre National de la Recherche Scientifique (CNRS); Museum National d'Histoire Naturelle (MNHN); Museum National d'Histoire Naturelle (MNHN)</t>
  </si>
  <si>
    <t>Gilbert, C (corresponding author), CNRS, Dept Ecol Physiol &amp; Ethol, Inst Pluridisciplinaire Hubert Curien, UMR 7178, 23 Rue Becquerel, F-67087 Strasbourg 02, France.</t>
  </si>
  <si>
    <t>caroline.gilbert@c-strasbourg.fr</t>
  </si>
  <si>
    <t>Gilbert, Caroline/HKV-2124-2023</t>
  </si>
  <si>
    <t>Gilbert, Caroline/0000-0002-9957-405X</t>
  </si>
  <si>
    <t>R176</t>
  </si>
  <si>
    <t>R185</t>
  </si>
  <si>
    <t>10.1152/ajpregu.00912.2005</t>
  </si>
  <si>
    <t>121QK</t>
  </si>
  <si>
    <t>WOS:000243171900019</t>
  </si>
  <si>
    <t>Öst, M; Clark, CW; Kilpi, M; Ydenberg, R</t>
  </si>
  <si>
    <t>Ost, Markus; Clark, Colin W.; Kilpi, Mikael; Ydenberg, Ron</t>
  </si>
  <si>
    <t>Parental effort and reproductive skew in coalitions of brood rearing female common eiders</t>
  </si>
  <si>
    <t>AMERICAN NATURALIST</t>
  </si>
  <si>
    <t>parental effort; parental care game; body condition; vigilance; Somateria mollissima; Nash bargaining game</t>
  </si>
  <si>
    <t>BODY CONDITION; SOMATERIA-MOLLISSIMA; NATURAL-SELECTION; ANTARCTIC PETREL; SEXUAL CONFLICT; CARE; VIGILANCE; BEHAVIOR; COSTS; MALES</t>
  </si>
  <si>
    <t>Members of breeding groups face conflicts over parental effort when balancing antipredatory vigilance and feeding. Empirical evidence has shown disparate responses to manipulations of parental effort. We develop a model in which we determine the evolutionarily stable effort of partners given their body conditions, allowing the benefits of shared care to be unevenly divided, and we test this model's predictions with data on common eiders (Somateria mollissima). Eiders show uniparental female care; females may share brood rearing, or they may tend alone, and their body condition at hatching of the young shows large environmentally induced variation. The model predicts that parental effort (vigilance) in a coalition is lower than when tending alone, controlling for parental condition; this prediction is supported by the data. The parental effort in a coalition should be positively correlated with body condition, and this prediction is also supported. Finally, parental effort should increase when partner condition decreases and vice versa; this prediction is partially supported. The Nash bargaining game may provide promising avenues by which to determine the precise settlement of reproductive skew and effort between coalition partners in the future.</t>
  </si>
  <si>
    <t>Univ Helsinki, Bird Ecol Unit, Dept Biol &amp; Environm Sci, FI-00014 Helsinki, Finland; Univ British Columbia, Dept Math, Vancouver, BC V6T 1Z2, Canada; Abo Akad Univ, Aronia Res Ctr, FI-10600 Ekenas, Finland; Sydvast Polytech, FI-10600 Ekenas, Finland; Simon Fraser Univ, Dept Biol Sci, Ctr Wildlife Ecol, Burnaby, BC V5A 1S6, Canada</t>
  </si>
  <si>
    <t>University of Helsinki; University of British Columbia; Abo Akademi University; Novia University of Applied Sciences; Simon Fraser University</t>
  </si>
  <si>
    <t>Öst, M (corresponding author), Univ Helsinki, Bird Ecol Unit, Dept Biol &amp; Environm Sci, POB 65,Bioctr 3,Viikinkaari 1, FI-00014 Helsinki, Finland.</t>
  </si>
  <si>
    <t>markus.ost@helsinki.fi; colin_clark@shaw.ca; mikael.kilpi@sydvast.fi; ydenberg@sfu.ca</t>
  </si>
  <si>
    <t>Öst, Markus/C-7376-2008</t>
  </si>
  <si>
    <t>0003-0147</t>
  </si>
  <si>
    <t>1537-5323</t>
  </si>
  <si>
    <t>AM NAT</t>
  </si>
  <si>
    <t>Am. Nat.</t>
  </si>
  <si>
    <t>10.1086/510213</t>
  </si>
  <si>
    <t>Ecology; Evolutionary Biology</t>
  </si>
  <si>
    <t>Environmental Sciences &amp; Ecology; Evolutionary Biology</t>
  </si>
  <si>
    <t>121BG</t>
  </si>
  <si>
    <t>WOS:000243132100011</t>
  </si>
  <si>
    <t>Grytsai, AV; Evtushevsky, OM; Agapitov, OV; Klekociuk, AR; Milinevsky, GP</t>
  </si>
  <si>
    <t>Grytsai, A. V.; Evtushevsky, O. M.; Agapitov, O. V.; Klekociuk, A. R.; Milinevsky, G. P.</t>
  </si>
  <si>
    <t>Structure and long-term change in the zonal asymmetry in Antarctic total ozone during spring</t>
  </si>
  <si>
    <t>ANNALES GEOPHYSICAE</t>
  </si>
  <si>
    <t>atmospheric composition and structure; pressure, density and temperature); meteorology and atmospheric dynamics; middle atmosphere dynamics; waves and tides</t>
  </si>
  <si>
    <t>PLANETARY-WAVES; COLUMN OZONE; LONGITUDE DEPENDENCE; STATIONARY WAVES; VARIABILITY; CLIMATE; TRENDS; STRATOSPHERE; TOMS</t>
  </si>
  <si>
    <t>The quasi-stationary asymmetry of total ozone over Antarctica during spring is studied by TOMS data during the period 1979-2005. Statistics on the amplitude and longitudinal position of zonal anomalies are obtained from the distribution of total ozone along seven individual latitudes at 5-degree intervals between 50 degrees S and 80 degrees S. As shown by the September-November means, the mid-latitude collar of ozone-rich stratospheric air has a sub-Antarctic maximum with a mean location in the quadrant 90 degrees E-180 degrees E and a total ozone level of about 380 DU between 50 degrees S and 60 degrees S. The steady displacement and elongation of the ozone hole under the influence of planetary waves causes a zonal anomaly of low ozone in the sector 0 degrees-60 degrees W with total ozone levels of about 200 DU between 70 degrees S and 80 degrees S. Climatologically, the highest amplitude of the zonal anomaly is 57.2 +/- 13.5 DU (relative asymmetry of 32% between high and low ozone levels) at 65 degrees S latitude. A significant eastward shift of approximately 45 degrees in longitude is observed in the total ozone minimum over the Weddell Sea - South Atlantic sector during 1979-2005, whereas the zonal maximum is relatively stable in location. Also apparent is a long-term shift in tropopause temperature distribution in the region. The geographical distribution of the zonal extremes in total ozone for the seven latitudes shows that (i) the extremes exhibit sensitivity to the shape of the Antarctic continent, (ii) the stationarity of the extremes increases poleward above the edge of continent and (iii) the positions of the extremes at the higher latitudes tend to follow the meridionally oriented elements of orography. It is suggested that the radiative influence of Antarctica contributes to the formation of this pattern. Anomalies in the horizontal structure of the tropopause, which appear related to orography, support this view. Mechanisms involved in the formation and decadal change in the total ozone asymmetry, as well as possible influences of the asymmetry on the stratospheric thermal regimes and regional UV irradiance redistribution are discussed.</t>
  </si>
  <si>
    <t>Natl Taras Shevchenko Univ Kyiv, Kiev, Ukraine; Australian Govt Antarctic Div, Kingston, Tas, Australia</t>
  </si>
  <si>
    <t>Ministry of Education &amp; Science of Ukraine; Taras Shevchenko National University of Kyiv; Australian Antarctic Division</t>
  </si>
  <si>
    <t>Milinevsky, GP (corresponding author), Natl Taras Shevchenko Univ Kyiv, Kiev, Ukraine.</t>
  </si>
  <si>
    <t>gmilin@univ.kiev.ua</t>
  </si>
  <si>
    <t>Evtushevsky, Oleksandr O.M./F-2065-2017; AGAPITOV, OLEKSIY/O-7922-2019; Milinevsky, Gennadi/AAD-8801-2019; Grytsai, Asen/AAS-7114-2020; Klekociuk, Andrew/A-4498-2015</t>
  </si>
  <si>
    <t>Evtushevsky, Oleksandr O.M./0000-0003-0582-559X; AGAPITOV, OLEKSIY/0000-0001-6427-1596; Milinevsky, Gennadi/0000-0002-2342-2615; Grytsai, Asen/0000-0002-2545-9833; Klekociuk, Andrew/0000-0003-3335-0034</t>
  </si>
  <si>
    <t>0992-7689</t>
  </si>
  <si>
    <t>1432-0576</t>
  </si>
  <si>
    <t>ANN GEOPHYS-GERMANY</t>
  </si>
  <si>
    <t>10.5194/angeo-25-361-2007</t>
  </si>
  <si>
    <t>Astronomy &amp; Astrophysics; Geosciences, Multidisciplinary; Meteorology &amp; Atmospheric Sciences</t>
  </si>
  <si>
    <t>Astronomy &amp; Astrophysics; Geology; Meteorology &amp; Atmospheric Sciences</t>
  </si>
  <si>
    <t>154YB</t>
  </si>
  <si>
    <t>WOS:000245543300003</t>
  </si>
  <si>
    <t>Holdsworth, DA; Elford, WG; Vincent, RA; Reid, IM; Murphy, DJ; Singer, W</t>
  </si>
  <si>
    <t>Holdsworth, D. A.; Elford, W. G.; Vincent, R. A.; Reid, I. M.; Murphy, D. J.; Singer, W.</t>
  </si>
  <si>
    <t>All-sky interferometric meteor radar meteoroid speed estimation using the Fresnel transform</t>
  </si>
  <si>
    <t>radio science; signal processing; instruments and techniques; solar physics, astrophysics,and astronomy; instruments and techniques</t>
  </si>
  <si>
    <t>DISTRIBUTIONS; TRAILS</t>
  </si>
  <si>
    <t>Fresnel transform meteor speed estimation is investigated. A spectral based technique is developed allowing the transform to be applied at low temporal sampling rates. Simulations are used to compare meteoroid speeds determined using the Fresnel transform and alternative techniques, confirming that the Fresnel transform produces the most accurate meteoroid speed estimates for high effective pulse repetition frequencies (PRFs). The Fresnel transform is applied to high effective PRF data collected during Leonid meteor showers, producing speed estimates in good agreement with the theoretical pre-atmospheric speed of the 71 kms(-1). Further simulations for the standard low effective PRF sampling parameters used for Buckland Park meteor radar (BPMR) observations suggests that the Fresnel transform can successfully estimate meteor speeds up to 80 kms(-1). Fresnel transform speed estimation is applied using the BPMR, producing speed distributions similar to those obtained in previous studies. The technique is also applied to data collected using the BPMR sampling parameters during Southern delta-Aquarid and Geminid meteor showers, producing speeds in very good agreement with the theoretical pre-atmospheric speeds of these showers (41 kms-1 and 35 kms(-1), respectively). However, application of the Fresnel transform to high speed showers suggests that the practical upper limit for accurate speed estimation using the BPMR sampling parameters is around 50 kms(-1). This limit allows speed accurate estimates to be made for about 70% of known meteor showers, and around 70% of sporadic echoes.</t>
  </si>
  <si>
    <t>Univ Adelaide, Dept Phys, Adelaide, SA 5005, Australia; ATRAD Pty Ltd, Thebarton, SA, Australia; Australian Govt, Antarctic Div, Kingston, Tas, Australia; Leibniz Inst Atmospher Phys, Kuhlungsborn, Germany</t>
  </si>
  <si>
    <t>University of Adelaide; ATRAD Pty Ltd.; Australian Antarctic Division; Leibniz Institut fur Atmospharenphysik e.V. an der Universitat Rostock (IAP)</t>
  </si>
  <si>
    <t>Holdsworth, DA (corresponding author), Univ Adelaide, Dept Phys, Adelaide, SA 5005, Australia.</t>
  </si>
  <si>
    <t>dholdswo@atrad.com.au</t>
  </si>
  <si>
    <t>Reid, Iain/B-5681-2012; Vincent, Robert A/E-5450-2013</t>
  </si>
  <si>
    <t>Reid, Iain/0000-0003-2340-9047; Vincent, Robert A/0000-0001-6559-6544</t>
  </si>
  <si>
    <t>10.5194/angeo-25-385-2007</t>
  </si>
  <si>
    <t>WOS:000245543300005</t>
  </si>
  <si>
    <t>Ford, EAK; Aruliah, AL; Griffin, EM; McWhirter, I</t>
  </si>
  <si>
    <t>Ford, E. A. K.; Aruliah, A. L.; Griffin, E. M.; McWhirter, I.</t>
  </si>
  <si>
    <t>High time resolution measurements of the thermosphere from Fabry-Perot Interferometer measurements of atomic oxygen</t>
  </si>
  <si>
    <t>meteorology and atmospheric dynamics; thermospheric dynamics; waves and tides</t>
  </si>
  <si>
    <t>ATMOSPHERIC GRAVITY-WAVES; VERTICAL WIND ACTIVITY; NEUTRAL WINDS; SPACED DATA; POLAR-CAP; SOLAR; DISTURBANCES; VARIABILITY; IONOSPHERE; RADAR</t>
  </si>
  <si>
    <t>Recent advances in the performance of CCD detectors have enabled a high time resolution study of the high latitude upper thermosphere with Fabry-Perot Interferometers (FPIs) to be performed. 10-s integration times were used during a campaign in April 2004 on an FPI located in northern Sweden in the auroral oval. The FPI is used to study the thermosphere by measuring the oxygen red line emission at 630.0 nm, which emits at an altitude of approximately 240 km. Previous time resolutions have been 4 min at best, due to the cycle of look directions normally observed. By using 10s rather than 40s integration times, and by limiting the number of full cycles in a night, high resolution measurements down to 15 s were achievable. This has allowed the maximum variability of the thermospheric winds and temperatures, and 630.0 nm emission intensities, at approximately 240 km. to be determined as a few minutes. This is a significantly greater variability than the often assumed value of 1 h or more. A Lomb-Scargle analysis of this data has shown evidence of gravity wave activity with waves with short periods. Gravity waves are an important feature of mesosphere-lower thermosphere (MLT) dynamics, observed using many techniques and providing an important mechanism for energy transfer between atmospheric regions. At high latitudes gravity waves may be generated in-situ by localised auroral activity. Short period waves were detected in all four clear nights when this experiment was performed, in 630.0 nm intensities and thermospheric winds and temperatures. Waves with many periodicities were observed, from periods of several hours, down to 14 min. These waves were seen in all parameters over several nights, implying that this variability is a typical property of the thermosphere.</t>
  </si>
  <si>
    <t>UCL, Dept Phys &amp; Astron, Atmospher Phys Lab, London WC1E 6BT, England; British Antarctic Survey, Cambridge CB3 0ET, England</t>
  </si>
  <si>
    <t>Ford, EAK (corresponding author), UCL, Dept Phys &amp; Astron, Atmospher Phys Lab, Gower St, London WC1E 6BT, England.</t>
  </si>
  <si>
    <t>eakf@bas.ac.uk</t>
  </si>
  <si>
    <t>Ford, Elaina/0000-0002-2430-3327</t>
  </si>
  <si>
    <t>10.5194/angeo-25-1269-2007</t>
  </si>
  <si>
    <t>195IU</t>
  </si>
  <si>
    <t>Green Submitted, Green Accepted, gold</t>
  </si>
  <si>
    <t>WOS:000248406700005</t>
  </si>
  <si>
    <t>Biqiang, Z; Weixing, W; Libo, L; Tian, M</t>
  </si>
  <si>
    <t>Biqiang, Zhao; Weixing, Wan; Libo, Liu; Tian, Mao</t>
  </si>
  <si>
    <t>Morphology in the total electron content under geomagnetic disturbed conditions: results from global ionosphere maps</t>
  </si>
  <si>
    <t>ionosphere; ionospheric disturbances; particle precipitation; magnetospheric physics; storms and substorms</t>
  </si>
  <si>
    <t>GREAT MAGNETIC STORM; WORLDWIDE GPS NETWORK; ANTARCTIC F-REGION; EQUATORIAL IONOSPHERE; THERMOSPHERIC WINDS; MIDDLE LATITUDES; JULY 15; BEHAVIOR; IONIZATION; FIELDS</t>
  </si>
  <si>
    <t>Using 8-year global ionosphere maps (GIMs) of TEC products from the Jet Propulsion Laboratory (JPL), we make a statistical study on the morphology of the global ionospheric behaviors with respect to the geomagnetic disturbances. Results show that the behaviors of TEC during geomagnetic storm present clear seasonal and local time variations under geomagnetic control in a similar way as those of NmF2 (Field and Rishbeth, 1997). A negative phase of TEC occurs with high probability in the summer hemisphere and most prominent near the geomagnetic poles, while a positive phase is obvious in the winter hemisphere and in the far pole region. A negative storm effect toward lower latitudes tends to occur from post-midnight to the morning sector and recedes to high latitude in the afternoon. A positive storm effect is separated by geomagnetic latitudes and magnetic local time. Furthermore, ionospheric responses at different local time sectors with respect to the storm commencement shows very different developing processes corresponding to the evolution of the geomagnetic storm. A daytime positive storm effect is shown to be more prominent in the American region than those in the Asian and European regions, which may suggest a longitudinal effect of the ionospheric storm.</t>
  </si>
  <si>
    <t>Chinese Acad Sci, Inst Geol &amp; Geophys, Beijing 100029, Peoples R China; Chinese Acad Sci, Wuhan Inst Phys, Wuhan 430071, Peoples R China; Chinese Acad Sci, Grad Sch, Beijing, Peoples R China</t>
  </si>
  <si>
    <t>Chinese Academy of Sciences; Institute of Geology &amp; Geophysics, CAS; Chinese Academy of Sciences; Chinese Academy of Sciences; University of Chinese Academy of Sciences, CAS</t>
  </si>
  <si>
    <t>Biqiang, Z (corresponding author), Chinese Acad Sci, Inst Geol &amp; Geophys, Beijing 100029, Peoples R China.</t>
  </si>
  <si>
    <t>zbqjz@mail.iggcas.ac.cn</t>
  </si>
  <si>
    <t>Zhao, Biqiang/A-2374-2012</t>
  </si>
  <si>
    <t>10.5194/angeo-25-1555-2007</t>
  </si>
  <si>
    <t>210VP</t>
  </si>
  <si>
    <t>WOS:000249484000010</t>
  </si>
  <si>
    <t>Rodger, CJ; Enell, CF; Turunen, E; Clilverd, MA; Thomson, NR; Verronen, PT</t>
  </si>
  <si>
    <t>Rodger, C. J.; Enell, C.-F.; Turunen, E.; Clilverd, M. A.; Thomson, N. R.; Verronen, P. T.</t>
  </si>
  <si>
    <t>Lightning-driven inner radiation belt energy deposition into the atmosphere: Implications for ionisation-levels and neutral chemistry</t>
  </si>
  <si>
    <t>ionosphere; ion chemistry and composition, ionization mechanisms, wave-particle interactions</t>
  </si>
  <si>
    <t>INDUCED ELECTRON-PRECIPITATION; VLF PERTURBATIONS; MODEL; ION; MAGNETOSPHERE; THERMOSPHERE; SIGNATURES; SATELLITE; LIFETIMES; WHISTLERS</t>
  </si>
  <si>
    <t>Lightning-generated whistlers lead to coupling between the troposphere, the Van Allen radiation belts and the lower-ionosphere through Whistler-induced electron precipitation (WEP). Lightning produced whistlers interact with cyclotron resonant radiation belt electrons, leading to pitch-angle scattering into the bounce loss cone and precipitation into the atmosphere. Here we consider the relative significance of WEP to the lower ionosphere and atmosphere by contrasting WEP produced ionisation rate changes with those from Galactic Cosmic Radiation (GCR) and solar photoionisation. During the day, WEP is never a significant source of ionisation in the lower ionosphere for any location or altitude. At nighttime, GCR is more significant than WEP at altitudes &lt;68 km for all locations, above which WEP starts to dominate in North America and Central Europe. Between 75 and 80 km altitude WEP becomes more significant than GCR for the majority of spatial locations at which WEP deposits energy. The size of the regions in which WEP is the most important nighttime ionisation source peaks at similar to 80 km, depending on the relative contributions of WEP and nighttime solar Lyman-alpha. We also used the Sodankyla Ion Chemistry (SIC) model to consider the atmospheric consequences of WEP, focusing on a case-study period. Previous studies have also shown that energetic particle precipitation can lead to large-scale changes in the chemical makeup of the neutral atmosphere by enhancing minor chemical species that play a key role in the ozone balance of the middle atmosphere. However, SIC modelling indicates that the neutral atmospheric changes driven by WEP are insignificant due to the short timescale of the WEP bursts. Overall we find that WEP is a significant energy input into some parts of the lower ionosphere, depending on the latitude/longitude and attitude, but does not play a significant role in the neutral chemistry of the mesosphere.</t>
  </si>
  <si>
    <t>Univ Otago, Dept Phys, Dunedin, New Zealand; Sodankyla Geophys Observat, Sodankyla, Finland; British Antarctic Survey, Phys Sci Div, Cambridge, England; Finnish Meteorol Inst, Earth Observat, Helsinki, Finland</t>
  </si>
  <si>
    <t>University of Otago; UK Research &amp; Innovation (UKRI); Natural Environment Research Council (NERC); NERC British Antarctic Survey; Finnish Meteorological Institute</t>
  </si>
  <si>
    <t>Rodger, CJ (corresponding author), Univ Otago, Dept Phys, Dunedin, New Zealand.</t>
  </si>
  <si>
    <t>Verronen, P. T./0000-0002-3479-9071; Rodger, Craig J./0000-0002-6770-2707; Turunen, Esa/0000-0001-8232-8744</t>
  </si>
  <si>
    <t>10.5194/angeo-25-1745-2007</t>
  </si>
  <si>
    <t>217WX</t>
  </si>
  <si>
    <t>Green Accepted, Green Submitted, gold</t>
  </si>
  <si>
    <t>WOS:000249979100004</t>
  </si>
  <si>
    <t>Moffat-Griffin, T; Aylward, AD; Nicholson, W</t>
  </si>
  <si>
    <t>Moffat-Griffin, T.; Aylward, A. D.; Nicholson, W.</t>
  </si>
  <si>
    <t>Thermal structure and dynamics of the Martian upper atmosphere at solar minimum from global circulation model simulations</t>
  </si>
  <si>
    <t>history of geophysics; atmospheric sciences; planetology; ionosphere; planetary ionospheres; atmospheric composition and structure; aerosols and particles</t>
  </si>
  <si>
    <t>GENERAL-CIRCULATION; MARS MESOSPHERE; THERMOSPHERE; VENUS</t>
  </si>
  <si>
    <t>Simulations of the Martian upper atmosphere have been produced from a self-consistent three-dimensional numerical model of the Martian thermosphere and ionosphere, called MarTIM. It covers an altitude range of 60 km to the upper thermosphere, usually at least 250 km altitude. A radiation scheme is included that allows the main sources of energy input, EUV/UV and IR absorption by CO2 and CO, to be calculated. CO2, N-2 and O are treated as the major gases in MarTIM, and are mutually diffused (though neutral chemistry is ignored). The densities of other species (the minor gases), CO, Ar, O-2 and NO, are based on diffusive equilibrium above the turbopause. The ionosphere is calculated from a simple photoionisation and charge exchange routine though in this paper we will only consider the thermal and dynamic structure of the neutral atmosphere at solar minimum conditions. The semi-diurnal (2,2) migrating tide, introduced at MarTIM's lower boundary, affects the dynamics up to 130 km. The Mars Climate Database (Lewis et al., 2001) can be used as a lower boundary in MarTIM. The effect of this is to increase wind speeds in the thermosphere and to produce small-scale structures throughout the thermosphere. Temperature profiles are in good agreement with Pathfinder results. Wind velocities are slightly lower compared to analysis of MGS accelerometer data (Withers, 2003). The novel step-by-step approach of adding in new features to MarTIM has resulted in further understanding of the drivers of the Martian thermosphere.</t>
  </si>
  <si>
    <t>UCL, Atmospher Phys Lab, London WC1E 6BT, England; British Antarctic Survey, Cambridge CB3 0ET, England</t>
  </si>
  <si>
    <t>Aylward, AD (corresponding author), UCL, Atmospher Phys Lab, London WC1E 6BT, England.</t>
  </si>
  <si>
    <t>alan@apl.ucl.ac.uk</t>
  </si>
  <si>
    <t>10.5194/angeo-25-2147-2007</t>
  </si>
  <si>
    <t>235NS</t>
  </si>
  <si>
    <t>WOS:000251241800007</t>
  </si>
  <si>
    <t>Verronen, PT; Rodger, CJ; Clilverd, MA; Pickett, HM; Turunen, E</t>
  </si>
  <si>
    <t>Verronen, P. T.; Rodger, C. J.; Clilverd, M. A.; Pickett, H. M.; Turunen, E.</t>
  </si>
  <si>
    <t>Latitudinal extent of the January 2005 solar proton event in the Northern Hemisphere from satellite observations of hydroxyl</t>
  </si>
  <si>
    <t>atmospheric composition and structure; middle atmosphere; composition and chemistry; ionosphere; particle precipitation; magnetospheric physics; polar cap phenomena</t>
  </si>
  <si>
    <t>POLAR-CAP ABSORPTION; MIDDLE ATMOSPHERE; MODEL; THERMOSPHERE</t>
  </si>
  <si>
    <t>We utilise hydroxyl observations from the MLS/Aura satellite instrument to study the latitudinal extent of particle forcing in the northern polar region during the January 2005 solar proton event. MLS is the first satellite instrument to observe HOx changes during such an event. We also predict the hydroxyl changes with respect to the magnetic latitude by the Sodankyla Ion and Neutral Chemistry model, estimating the variable magnetic cutoff energies for protons using a parameterisation based on magnetosphere modelling and the planetary magnetic index K-p. In the middle and lower mesosphere, HOx species are good indicators of the changes in the atmosphere during solar proton events, because they respond rapidly to both increases and decreases in proton forcing. Also, atmospheric transport has a negligible effect on HOx because of its short chemical lifetime. The observations indicate the boundary of the proton forcing and a transition region, from none to the 'full' effect, which ranges from about 57 to 64 degrees of magnetic latitude. When saturating the rigidity cutoff K-p at 6 in the model, as suggested by earlier studies using observations of cosmic radio noise absorption, the equatorward boundary of the transition region is offset by approximate to 2 degrees polewards compared with the data, thus the latitudinal extent of the proton forcing in the atmosphere is underestimated. However, the model predictions are in reasonable agreement with the MLS measurements when the K-p index is allowed to vary within its nominal range, i.e., from 1 to 9 in the cutoff calculation.</t>
  </si>
  <si>
    <t>Earth Observ, Finnish Meteorol Inst, Helsinki, Finland; Univ Otago, Dept Phys, Dunedin, New Zealand; British Antarctic Survey, Div Phys Sci, Cambridge CB3 0ET, England; CALTECH, Jet Propuls Lab, Pasadena, CA 91125 USA; Univ Oulu, Sodankyla Geophys Observ, Sodankyla, Finland</t>
  </si>
  <si>
    <t>Finnish Meteorological Institute; University of Otago; UK Research &amp; Innovation (UKRI); Natural Environment Research Council (NERC); NERC British Antarctic Survey; National Aeronautics &amp; Space Administration (NASA); NASA Jet Propulsion Laboratory (JPL); California Institute of Technology; University of Oulu</t>
  </si>
  <si>
    <t>Verronen, PT (corresponding author), Earth Observ, Finnish Meteorol Inst, Helsinki, Finland.</t>
  </si>
  <si>
    <t>pekka.verronen@fmi.fi</t>
  </si>
  <si>
    <t>Verronen, Pekka T/G-6658-2014; Verronen, P. T./AIE-0203-2022; Rodger, Craig/A-1501-2011</t>
  </si>
  <si>
    <t>10.5194/angeo-25-2203-2007</t>
  </si>
  <si>
    <t>WOS:000251241800013</t>
  </si>
  <si>
    <t>Santarelli, L; Lepidi, S; Cafarella, L</t>
  </si>
  <si>
    <t>Santarelli, L.; Lepidi, S.; Cafarella, L.</t>
  </si>
  <si>
    <t>Propagation of low frequency geomagnetic field fluctuations in Antarctica: comparison between two polar cap stations</t>
  </si>
  <si>
    <t>magnetospheric physics (MHD wave and instabilities; Polar phenomena; Solar wind-magnetosphere interactions)</t>
  </si>
  <si>
    <t>MAGNETIC PULSATIONS; LATITUDE; CUSP; WAVES; CLEFT</t>
  </si>
  <si>
    <t>We conduct a statistical analysis of the coherence and phase difference of low frequency geomagnetic fluctuations between two Antarctic stations, Mario Zucchelli Station (geographic coordinates: 74.7 degrees S, 164.1 degrees E; corrected geomagnetic coordinates: 80.0 degrees S, 307.7 degrees E) and Scott Base (geographic coordinates: 77.8 degrees S 166.8 degrees E; corrected geomagnetic coordinates: 80.0 degrees S 326.5 degrees E), both located in the polar cap. Due to the relative position of the stations, whose displacement is essentially along a geomagnetic parallel, the phase difference analysis allows to determine the direction of azimuthal propagation of geomagnetic fluctuations. The results show that coherent fluctuations are essentially detectable around local geomagnetic midnight and, in a minor extent, around noon; moreover, the phase difference reverses in the night time hours, indicating a propagation direction away from midnight, and also around local geomagnetic noon, indicating a propagation direction away from the subsolar point. The nigh time phase reversal is more clear for southward interplanetary magnetic field conditions, suggesting a relation with substorm activity. The introduction, in this analysis, of the Interplanetary Magnetic Field conditions, gave interesting results, indicating a relation with substorm activity during nighttime hours. We also conducted a study of three individual pulsation events in order to find a correspondence with the statistical behaviour. In particular, a peculiar event, characterized by quiet magnetospheric and northward interplanetary magnetic field conditions, shows a clear example of waves propagating away from the local geomagnetic noon; two more events, occurring during southward interplanetary magnetic field conditions, in one case even during a moderate storm, show waves propagating away from the local geomagnetic midnight.</t>
  </si>
  <si>
    <t>[Santarelli, L.; Lepidi, S.; Cafarella, L.] Ist Nazl Geofis &amp; Vulcanol, Rome, Italy</t>
  </si>
  <si>
    <t>Istituto Nazionale Geofisica e Vulcanologia (INGV)</t>
  </si>
  <si>
    <t>Santarelli, L (corresponding author), Ist Nazl Geofis &amp; Vulcanol, Rome, Italy.</t>
  </si>
  <si>
    <t>lepidi@ingv.it</t>
  </si>
  <si>
    <t>Cafarella, Lili/HTO-5890-2023; Lepidi, Stefania/HGU-5046-2022; cafarella, lili/G-4160-2011</t>
  </si>
  <si>
    <t>cafarella, lili/0000-0003-2005-8923</t>
  </si>
  <si>
    <t>10.5194/angeo-25-2405-2007</t>
  </si>
  <si>
    <t>246HU</t>
  </si>
  <si>
    <t>WOS:000251998900012</t>
  </si>
  <si>
    <t>Morley, SK; Freeman, MP; Tanskanen, EI</t>
  </si>
  <si>
    <t>Morley, S. K.; Freeman, M. P.; Tanskanen, E. I.</t>
  </si>
  <si>
    <t>A comparison of the probability distribution of observed substorm magnitude with that predicted by a minimal substorm model</t>
  </si>
  <si>
    <t>ionosphere (Modeling and forcasting); Magnetosphere physics (Solar wind-magnetosphere interactions; Storms and substorms)</t>
  </si>
  <si>
    <t>INTERPLANETARY MAGNETIC-FIELD; AURORAL ELECTROJET ACTIVITY; MAGNETOSPHERIC SUBSTORMS; PROTON PRECIPITATION; IONOSPHERE SYSTEM; ENERGY BUDGET; CONVECTION; AE; CONDUCTIVITY; RECURRENCE</t>
  </si>
  <si>
    <t>We compare the probability distributions of substorm magnetic bay magnitudes from observations and a minimal substorm model. The observed distribution was derived previously and independently using the IL index from the IMAGE magnetometer network. The model distribution is derived from a synthetic AL index time series created using real solar wind data and a minimal substorm model, which was previously shown to reproduce observed substorm waiting times. There are two free parameters in the model which scale the contributions to AL from the directly-driven DP2 electrojet and loading-unloading DP1 electrojet, respectively. In a limited region of the 2-D parameter space of the model, the probability distribution of modelled substorm bay magnitudes is not significantly different to the observed distribution. The ranges of the two parameters giving acceptable (95% confidence level) agreement are consistent with expectations using results from other studies. The approximately linear relationship between the two free parameters over these ranges implies that the substorm magnitude simply scales linearly with the solar wind power input at the time of substorm onset.</t>
  </si>
  <si>
    <t>[Morley, S. K.] Univ Newcastle, Sch Math &amp; Phys Sci, Newcastle, NSW 2308, Australia; [Morley, S. K.; Freeman, M. P.] British Antarctic Survey, NERC, Cambridge CB3 0ET, England; [Tanskanen, E. I.] Univ Bergen, Dept Phys &amp; Technol, N-5020 Bergen, Norway; [Tanskanen, E. I.] Finnish Meteorol Inst, Space Res Unit, FIN-00101 Helsinki, Finland</t>
  </si>
  <si>
    <t>University of Newcastle; UK Research &amp; Innovation (UKRI); Natural Environment Research Council (NERC); NERC British Antarctic Survey; University of Bergen; Finnish Meteorological Institute</t>
  </si>
  <si>
    <t>Morley, SK (corresponding author), Univ Newcastle, Sch Math &amp; Phys Sci, Newcastle, NSW 2308, Australia.</t>
  </si>
  <si>
    <t>Morley, Steven/AAP-5637-2021; Morley, Steven K/GVS-9398-2022; Morley, Steven K/A-8321-2008; Freeman, Mervyn/E-5687-2019</t>
  </si>
  <si>
    <t>Natural Environment Research Council [bas010021] Funding Source: researchfish; NERC [bas010021] Funding Source: UKRI</t>
  </si>
  <si>
    <t>10.5194/angeo-25-2427-2007</t>
  </si>
  <si>
    <t>WOS:000251998900014</t>
  </si>
  <si>
    <t>Evatt, GW; Fowler, AC</t>
  </si>
  <si>
    <t>Clarke, GKC; Smellie, J</t>
  </si>
  <si>
    <t>Evatt, G. W.; Fowler, A. C.</t>
  </si>
  <si>
    <t>Cauldron subsidence and subglacial floods</t>
  </si>
  <si>
    <t>ANNALS OF GLACIOLOGY, VOL 45, 2007</t>
  </si>
  <si>
    <t>Annals of Glaciology-Series</t>
  </si>
  <si>
    <t>International Symposium on Earth and Planetary Ice-Volcano Interactions</t>
  </si>
  <si>
    <t>JUN 19-23, 2006</t>
  </si>
  <si>
    <t>Univ Iceland, Inst Earth Sci, Reykjavik, ICELAND</t>
  </si>
  <si>
    <t>Univ Iceland, Inst Earth Sci</t>
  </si>
  <si>
    <t>Ice cauldrons are depressions which form at the surface of ice sheets when an underlying subglacial lake empties, in particular when subglacial volcanic eruptions occur. Notable examples of such cauldrons occur on the surface of the Vatnajokull ice cap in Iceland. More generally, cauldrons will form when a subglacial lake empties during a jokulhlaup. The rate of subsidence of the ice surface is related to the rate at which the subglacial water empties from the lake. We use a viscous version of classical beam theory applied to the ice sheet to determine the relation between the subsidence rate and flood discharge. We use the results to make inferences concerning ring fracture spacings in cauldrons, the consequent effect on flood discharge dynamics and the likely nature of subsidence events in the Antarctic Ice Sheet.</t>
  </si>
  <si>
    <t>[Evatt, G. W.; Fowler, A. C.] Univ Oxford, Math Inst, 24-29 St Giles Way, Oxford OX1 3LB, England</t>
  </si>
  <si>
    <t>Evatt, GW (corresponding author), Univ Oxford, Math Inst, 24-29 St Giles Way, Oxford OX1 3LB, England.</t>
  </si>
  <si>
    <t>evatt@maths.ox.ac.uk</t>
  </si>
  <si>
    <t>Fowler, Andrew/I-5868-2014</t>
  </si>
  <si>
    <t>Centre for Polar and Ocean Modelling at University College,London</t>
  </si>
  <si>
    <t>G.W.E. thanks W.H.R. Evatt for financial support and the Centre for Polar and Ocean Modelling at University College, London, for the award of a research assistantship. A.C.F. thanks the University of Limerick for their continued support of his research.</t>
  </si>
  <si>
    <t>INT GLACIOLOGICAL SOC</t>
  </si>
  <si>
    <t>LENSFIELD RD, CAMBRIDGE CB2 1ER, ENGLAND</t>
  </si>
  <si>
    <t>0260-3055</t>
  </si>
  <si>
    <t>978-0-946417-40-7</t>
  </si>
  <si>
    <t>ANN GLACIOL-SER</t>
  </si>
  <si>
    <t>10.3189/172756407782282561</t>
  </si>
  <si>
    <t>Environmental Sciences; Geology</t>
  </si>
  <si>
    <t>BGT65</t>
  </si>
  <si>
    <t>WOS:000250427700019</t>
  </si>
  <si>
    <t>Alley, RB; Spencer, MK; Anandakrishnan, S</t>
  </si>
  <si>
    <t>Sharp, M</t>
  </si>
  <si>
    <t>Alley, Richard B.; Spencer, Matthew K.; Anandakrishnan, Sridhar</t>
  </si>
  <si>
    <t>Ice-sheet mass balance: assessment, attribution and prognosis</t>
  </si>
  <si>
    <t>ANNALS OF GLACIOLOGY, VOL 46, 2007</t>
  </si>
  <si>
    <t>International Symposium on Cryospheric Indicators of Global Climate Change</t>
  </si>
  <si>
    <t>AUG 21-25, 2006</t>
  </si>
  <si>
    <t>Cambridge, ENGLAND</t>
  </si>
  <si>
    <t>SEA-LEVEL RISE; FIRN DENSIFICATION; SNOW ACCUMULATION; INTERANNUAL VARIATIONS; ELEVATION CHANGE; GREENLAND; FLUCTUATIONS; VARIABILITY; ANTARCTICA; ALTIMETRY</t>
  </si>
  <si>
    <t>Contrary to prior expectations that warming would cause mass addition averaged over the Greenland and Antarctic ice sheets and over the next century, the ice sheets appear to be losing mass, at least partly in response to recent warming. With warming projected for the future, additional mass loss appears more likely than not.</t>
  </si>
  <si>
    <t>[Alley, Richard B.; Spencer, Matthew K.; Anandakrishnan, Sridhar] Penn State Univ, Dept Geosci, University Pk, PA 16802 USA</t>
  </si>
  <si>
    <t>Gregory, Jonathan/J-2939-2016; Joos, Fortunat/B-4118-2018; Friedlingstein, Pierre/H-2700-2014; Bindoff, Nathaniel Lee/C-8050-2011; Anandakrishnan, Sridhar/JCN-5026-2023; Bindoff, Nathaniel Lee/IVV-0333-2023; Wood, Richard/HKW-7781-2023; Christensen, Jens Hesselbjerg/C-4162-2013; Ramaswamy, Venkatachalam/AAJ-6265-2021</t>
  </si>
  <si>
    <t>Gregory, Jonathan/0000-0003-1296-8644; Joos, Fortunat/0000-0002-9483-6030; Friedlingstein, Pierre/0000-0003-3309-4739; Bindoff, Nathaniel Lee/0000-0001-5662-9519; Bindoff, Nathaniel Lee/0000-0001-5662-9519; Christensen, Jens Hesselbjerg/0000-0002-9908-8203; Ramaswamy, Venkatachalam/0000-0002-1984-6423</t>
  </si>
  <si>
    <t>US National Science Foundation [0531211, 0440447, 0447235, 0424589, 0229609]; Gary Comer Science and Education Foundation; Directorate For Geosciences; Division Of Earth Sciences [0447235] Funding Source: National Science Foundation; Directorate For Geosciences; Office of Polar Programs (OPP) [0917509] Funding Source: National Science Foundation</t>
  </si>
  <si>
    <t>US National Science Foundation(National Science Foundation (NSF)); Gary Comer Science and Education Foundation; Directorate For Geosciences; Division Of Earth Sciences(National Science Foundation (NSF)NSF - Directorate for Geosciences (GEO)); Directorate For Geosciences; Office of Polar Programs (OPP)(National Science Foundation (NSF)NSF - Directorate for Geosciences (GEO))</t>
  </si>
  <si>
    <t>We thank J. Zwally, R. Thomas, J. Mitrovica, other colleagues and reviewers for helpful information. Fundingwas provided by the US National Science Foundation through grants 0531211, 0440447, 0447235, 0424589 and 0229609, and by the Gary Comer Science and Education Foundation.</t>
  </si>
  <si>
    <t>978-0-946417-41-4</t>
  </si>
  <si>
    <t>10.3189/172756407782871738</t>
  </si>
  <si>
    <t>BGW54</t>
  </si>
  <si>
    <t>WOS:000250954200001</t>
  </si>
  <si>
    <t>Li, J; Zwally, HJ; Comiso, JC</t>
  </si>
  <si>
    <t>Li, Jun; Zwally, H. Jay; Comiso, Josefino C.</t>
  </si>
  <si>
    <t>Ice-sheet elevation changes caused by variations of the firn compaction rate induced by satellite-observed temperature variations (1982-2003)</t>
  </si>
  <si>
    <t>INTERANNUAL VARIATIONS; SPATIAL-DISTRIBUTION; SURFACE ELEVATION; MASS-BALANCE; DENSIFICATION; GREENLAND; VARIABILITY</t>
  </si>
  <si>
    <t>Changes in the surface elevation of the Greenland and Antarctic ice sheets and ice shelves caused by variations in the rate of firn compaction are calculated with a time-dependent firn densification model driven by two decades (1982-2003) of satellite-observed monthly surface temperatures. The model includes the effects of melting and refreezing, both the direct changes in density and the subsequent effects on the densification rate. As previously shown, the temperaturem dependent rate of densification is largest in summer, but changes in winter temperatures also have a significant effect. Over the last decade, climate warming has enhanced the rate of compaction and lowered the average surface elevation of Greenland by 1.8cma-1 and most of West Antarctica by 1.9 cm a-'. In East Antarctica, a small cooling raised the average surface elevation by 0.14 cm a-'.</t>
  </si>
  <si>
    <t>[Li, Jun] NASA, Goddard Space Flight Ctr, SGT Inc, Code 614-1, Greenbelt, MD 20771 USA; [Zwally, H. Jay; Comiso, Josefino C.] NASA, Goddard Space Flight Ctr, Cryospher Sci Branch, Greenbelt, MD 20771 USA</t>
  </si>
  <si>
    <t>Stinger Ghaffarian Technologies, Inc. (SGT); National Aeronautics &amp; Space Administration (NASA); NASA Goddard Space Flight Center; National Aeronautics &amp; Space Administration (NASA); NASA Goddard Space Flight Center</t>
  </si>
  <si>
    <t>Li, J (corresponding author), NASA, Goddard Space Flight Ctr, SGT Inc, Code 614-1, Greenbelt, MD 20771 USA.</t>
  </si>
  <si>
    <t>lijun@icesat2.gsfc.nasa.gov</t>
  </si>
  <si>
    <t>10.3189/172756407782871486</t>
  </si>
  <si>
    <t>WOS:000250954200002</t>
  </si>
  <si>
    <t>Vieli, GJMCL; Hindmarsh, RCA; Siegert, MJ</t>
  </si>
  <si>
    <t>Vieli, G. J. -M. C. Leysinger; Hindmarsh, R. C. A.; Siegert, M. J.</t>
  </si>
  <si>
    <t>Three-dimensional flow influences on radar layer stratigraphy</t>
  </si>
  <si>
    <t>ACCUMULATION PATTERN; WEST ANTARCTICA; SIPLE DOME; ICE-STREAM; SURFACE; ZONE</t>
  </si>
  <si>
    <t>Variations in the depth of radar-detectable englacial layers (isochrones) are commonly used to assess past variability in accumulation rates, but little is known about the effect of internal and basal flow variations on isochrone deflections (e.g. bumps, troughs). In this paper, we show how the isochrones are affected by such variation using a three-dimensional flow model to investigate changes in the flow mode and in increased basal melting. We also investigate how transverse flows with lateral velocity gradients affect the development of isochrones. We use the model to visualize how such variations will be seen in radar lines which cross the flow direction. We show that in the presence of lateral gradients in the flow field we can produce bumps and troughs when viewed along transects perpendicular to the flow. The model results show that the influences of flow convergence, melting and changes in flow mode, when coupled together, affect isochrones over the whole depth of the ice sheet. Finally, changes in the near-surface layers cannot be solely attributed to spatial variation in the accumulation rate; there can also be a strong signal from changes in the flow mode.</t>
  </si>
  <si>
    <t>[Vieli, G. J. -M. C. Leysinger; Hindmarsh, R. C. A.] British Antarctic Survey, NERC, Madingley Rd, Cambridge CB3 0ET, England; [Vieli, G. J. -M. C. Leysinger] Univ Durham, Dept Geog, Sci Labs, Durham DH1 3LE, England; [Siegert, M. J.] Univ Edinburgh, Grant Inst Geol, Sch Geosci, Edinburgh EH9 3JW, Midlothian, Scotland</t>
  </si>
  <si>
    <t>UK Research &amp; Innovation (UKRI); Natural Environment Research Council (NERC); NERC British Antarctic Survey; Durham University; University of Edinburgh</t>
  </si>
  <si>
    <t>Vieli, GJMCL (corresponding author), British Antarctic Survey, NERC, Madingley Rd, Cambridge CB3 0ET, England.</t>
  </si>
  <si>
    <t>g.j.m.c.leysinger-vieli@durham.ac.uk</t>
  </si>
  <si>
    <t>Siegert, Martin J/A-3826-2008; Hindmarsh, Richard/C-1405-2012</t>
  </si>
  <si>
    <t>Siegert, Martin J/0000-0002-0090-4806; Hindmarsh, Richard/0000-0003-1633-2416</t>
  </si>
  <si>
    <t>UK Natural Environment Research Council [NER/A/S/2001/01011]; NERC [cpom10001] Funding Source: UKRI</t>
  </si>
  <si>
    <t>UK Natural Environment Research Council(UK Research &amp; Innovation (UKRI)Natural Environment Research Council (NERC)); NERC(UK Research &amp; Innovation (UKRI)Natural Environment Research Council (NERC))</t>
  </si>
  <si>
    <t>We thank the referees for detailed reviews and comments which considerably improved the paper. Funding for work leading to this paper was provided by UK Natural Environment Research Council grant No. NER/A/S/2001/01011.</t>
  </si>
  <si>
    <t>10.3189/172756407782871729</t>
  </si>
  <si>
    <t>Bronze, Green Accepted, Green Submitted, Green Published</t>
  </si>
  <si>
    <t>WOS:000250954200004</t>
  </si>
  <si>
    <t>Picard, G; Fily, M; Gallee, H</t>
  </si>
  <si>
    <t>Picard, G.; Fily, M.; Gallee, H.</t>
  </si>
  <si>
    <t>Surface melting derived from microwave radiometers: a climatic indicator in Antarctica</t>
  </si>
  <si>
    <t>GREENLAND ICE-SHEET; PENINSULA; SNOW; SHELVES; PRECIPITATION; TEMPERATURES; VARIABILITY; DURATION; EMISSION; SENSORS</t>
  </si>
  <si>
    <t>This paper aims at presenting a new dataset including the melt events derived from microwave remote sensing occurring in Antarctica from summer 1979/80 to 2005/06. The method for detecting melt events and sources of error is presented, and then trends in melt duration for every pixel are extracted from the dataset, mapped and analyzed. The analysis focuses on two particular cases, and the main results show that: (1) the trends over the period 1980-2006 in the Antarctic Peninsula match with lengthening of the melt season on the ice shelves and, surprisingly, shortening of the melt season in the mountainous area of the peninsula; and (2) the trends over the period 1996-2006 on the entire continent show a dipolar pattern, with the western regions experiencing decreasing melt duration, whereas East Antarctica and the Ross Ice Shelf experience increasing melt duration. This pattern closely mirrors the temperature pattern expected when the Southern Annular Mode is in a decreasing trend, as it is over the period 1996-2006. For further analysis and validation, the dataset has been made available at http://www-igge.obs.ujf-grenoble.fr/similar to picard/melting/.</t>
  </si>
  <si>
    <t>[Picard, G.; Fily, M.; Gallee, H.] UJF, CNRS, Lab Glaciol &amp; Geophys Environm, 54 Rue Moliere, F-38400 St Martin Dheres, France</t>
  </si>
  <si>
    <t>Centre National de la Recherche Scientifique (CNRS); Communaute Universite Grenoble Alpes; Universite Grenoble Alpes (UGA)</t>
  </si>
  <si>
    <t>Picard, G (corresponding author), UJF, CNRS, Lab Glaciol &amp; Geophys Environm, 54 Rue Moliere, F-38400 St Martin Dheres, France.</t>
  </si>
  <si>
    <t>ghislain.picard@lgge.obs.ujf-grenoble.fr</t>
  </si>
  <si>
    <t>Picard, Ghislain/D-4246-2013</t>
  </si>
  <si>
    <t>Picard, Ghislain/0000-0003-1475-5853</t>
  </si>
  <si>
    <t>10.3189/172756407782871684</t>
  </si>
  <si>
    <t>WOS:000250954200005</t>
  </si>
  <si>
    <t>Molina, C; Navarro, FJ; Calvet, J; García-Sellés, D; Lapazaran, JJ</t>
  </si>
  <si>
    <t>Molina, C.; Navarro, F. J.; Calvet, J.; Garcia-Selles, D.; Lapazaran, J. J.</t>
  </si>
  <si>
    <t>Hurd Peninsula glaciers, Livingston Island, Antarctica, as indicators of regional warming:: ice-volume changes during the period 1956-2000</t>
  </si>
  <si>
    <t>RADAR</t>
  </si>
  <si>
    <t>Johnsons and Hurd Glaciers are the two main glacier units of Hurd Peninsula ice cap, Livingston Island, South Shetland Islands, Antarctica. They presently cover an area of about 10kM2. Johnsons is a tidewater glacier, while Hurd Glacier ends on emerged land. In this paper, we estimate the changes in ice volume during the period 1956-2000, and compare them with the regional meteorological records. The volume-change estimates are based on the comparison of digital terrain models for the glacier surface, constructed from aerial photographs taken by the British Antarctic Survey in 1956 and from our geodetic measurements in 1999/2000. The total volume estimates are based on an ice-thickness map constructed from radio-echo sounding profiles (18-25MHz) done in 1999-2001, showing maximum ice thickness of about 200m. We estimate the changes in ice volume during the period 1956-2000 to be -0.108 +/- 0.048 km(3), which represents a 10.0 +/- 4.5% decrease from the 1956 total volume of 1.076 +/- 0.055 km(3) and is equivalent to an average annual mass balance of -0.23 +/- 0.10 m w.e. during 1956-2000. Ice-thickness changes range from -40 to +20 m, averaging -5.5 +/- 4.4 m. Most areas show ice thinning; the thickening is limited to a small area within Johnsons Glacier. All glacier fronts, except Johnsons' calving front, show retreat. These changes are consistent with the regional meteorological records for mean summer temperature, which show a trend of +0.023 +/- 0.005 degrees C a(-1) during the period 1956-2000.</t>
  </si>
  <si>
    <t>[Molina, C.; Navarro, F. J.; Lapazaran, J. J.] Univ Politecn Madrid, ETSI Telecomun, Dept Matemat Aplicada, Ciudad Univ, ES-28040 Madrid, Spain; [Calvet, J.; Garcia-Selles, D.] Univ Barcelona, Fac Geol, Dept Geodinamica Geofis, E-08028 Barcelona, Spain</t>
  </si>
  <si>
    <t>Universidad Politecnica de Madrid; University of Barcelona</t>
  </si>
  <si>
    <t>Molina, C (corresponding author), Univ Politecn Madrid, ETSI Telecomun, Dept Matemat Aplicada, Ciudad Univ, ES-28040 Madrid, Spain.</t>
  </si>
  <si>
    <t>fnv@mat.upm.es</t>
  </si>
  <si>
    <t>García-Sellés, David/J-5986-2017; Navarro, Francisco/L-2941-2014; Lapazaran, Javier Jesus/L-7362-2014</t>
  </si>
  <si>
    <t>Navarro, Francisco/0000-0002-5147-0067; Lapazaran, Javier Jesus/0000-0003-1820-4960</t>
  </si>
  <si>
    <t>Spanish Ministry of Education and Science [REN2002-03199/ANT, CGL2005-05483]</t>
  </si>
  <si>
    <t>Spanish Ministry of Education and Science(Spanish Government)</t>
  </si>
  <si>
    <t>This research was supported by grants REN2002-03199/ANT and CGL2005-05483 from the Spanish Ministry of Education and Science. We thank the reviewers A. Fox and T. James and the scientific editor R. Hodgkins for their many suggestions to improve the manuscript.</t>
  </si>
  <si>
    <t>10.3189/172756407782871765</t>
  </si>
  <si>
    <t>WOS:000250954200007</t>
  </si>
  <si>
    <t>Arigony-Neto, J; Rau, F; Saurer, H; Jaña, R; Simoes, JC; Vogt, S</t>
  </si>
  <si>
    <t>Arigony-Neto, Jorge; Rau, Frank; Saurer, Helmut; Jana, Ricardo; Simoes, Jefferson Cardia; Vogt, Steffen</t>
  </si>
  <si>
    <t>A time series of SAR data for monitoring changes in boundaries of glacier zones on the Antarctic Peninsula</t>
  </si>
  <si>
    <t>ICE SHELF COLLAPSE; MASS-BALANCE; SURFACE-PROPERTIES; VARIABILITY; RETREAT; DISINTEGRATION; IMAGERY; TRENDS; ISLAND; SNOW</t>
  </si>
  <si>
    <t>Drastic changes have been detected in glacial systems of the Antarctic Peninsula in the last few decades and are well documented in numerous scientific publications. However, the spatial and temporal distribution of glacier changes on the Antarctic Peninsula remains largely restricted to ice fronts. To expand the current monitoring of a few glaciers, unevenly distributed along the peninsula, to a representative set, we developed a method to simplify the detection of boundaries between glacier zones using satellite SAR data. The evolution of glacier zones is greatly influenced by local and regional climatic and meteorological settings. Their variations in response to changes in energy or mass balance are considered as good indicators of climatic changes. In this paper, we describe the results of knowledge-based image analysis algorithms on test areas located at Trinity Peninsula and near Marguerite Bay. In general, the two analyzed areas show different patterns of glacier zone development. The bare-ice zone occurs mainly on glaciers located on the eastern side of Trinity Peninsula. Its upper boundary shows a good correlation with the mean summer air temperature. Finally, the position of the dry-snow line shows different spatial patterns of change in both study areas.</t>
  </si>
  <si>
    <t>Univ Freiburg, Inst Phys Geog, Werderring 4, D-79085 Freiburg, Germany; [Arigony-Neto, Jorge; Simoes, Jefferson Cardia] Univ Fed Rio Grande do Sul, Nucl Pesquisas Antarticas Climat, BR-91501970 Porto Alegre, RS, Brazil; [Vogt, Steffen] Inst Antart Chile, Punta Arenas 1055, Chile</t>
  </si>
  <si>
    <t>University of Freiburg; Universidade Federal do Rio Grande do Sul</t>
  </si>
  <si>
    <t>Arigony-Neto, J (corresponding author), Univ Freiburg, Inst Phys Geog, Werderring 4, D-79085 Freiburg, Germany.</t>
  </si>
  <si>
    <t>arigony@googlemail.com</t>
  </si>
  <si>
    <t>Simoes, Jefferson Cardia/D-7232-2013; Jaña, Ricardo/AAR-1225-2020</t>
  </si>
  <si>
    <t>Simoes, Jefferson Cardia/0000-0001-5555-3401; Jaña, Ricardo/0000-0003-3319-1168; Arigony-Neto, Jorge/0000-0003-4848-2064</t>
  </si>
  <si>
    <t>Global Land Ice Measurements from Space (GUMS); University of Freiburg; European Space Agency [ERS-1/-2]; Brazilian National Council for Scientific and Technological Development (CNPq); [2658]</t>
  </si>
  <si>
    <t>Global Land Ice Measurements from Space (GUMS); University of Freiburg; European Space Agency(European Space Agency); Brazilian National Council for Scientific and Technological Development (CNPq)(Conselho Nacional de Desenvolvimento Cientifico e Tecnologico (CNPQ));</t>
  </si>
  <si>
    <t>This study was carried out as a contribution to the multinational project 'Global Land Ice Measurements from Space' (GUMS) and the activities of the GUMS Regional Center for the Antarctic Peninsula at the Department of Physical Geography, University of Freiburg. The European Space Agency is acknowledged for supplying ERS-1/-2 and Envisat ASAR data within the CryoSat Data AO Project 2658, 'Evaluating CryoSat's potential contribution to the quantification of mass balance and mass balance variations on the Antarctic Peninsula'. J. Arigony-Neto and J.C. Simoes are supported by grants from the Brazilian National Council for Scientific and Technological Development (CNPq). We also thank the associate editor R. Massom and two anonymous reviewers for comments which helped to improve this paper.</t>
  </si>
  <si>
    <t>10.3189/172756407782871387</t>
  </si>
  <si>
    <t>WOS:000250954200009</t>
  </si>
  <si>
    <t>Van Tuyll, CI; Van de Wal, RSW; Oerlemans, J</t>
  </si>
  <si>
    <t>Van Tuyll, C. I.; Van de Wal, R. S. W.; Oerlemans, J.</t>
  </si>
  <si>
    <t>The response of a simple Antarctic ice-flow model to temperature and sea-level fluctuations over the Cenozoic era</t>
  </si>
  <si>
    <t>GLACIATION; RECORD; PACIFIC; ISOTOPE</t>
  </si>
  <si>
    <t>An ice-flow model is used to simulate the Antarctic ice-sheet volume and deep-sea temperature record during Cenozoic times. We used a vertically integrated axisymmetric ice-sheet model, including bedrock adjustment. In order to overcome strong numerical hysteresis effects during climate change, the model is solved on a stretching grid. The Cenozoic reconstruction of the Antarctic ice sheet is accomplished by splitting the global oxygen isotope record derived from benthic foraminifera into an ice-volume and a deep-sea temperature component. The model is tuned to reconstruct the initiation of a large ice sheet of continental size at 34 Ma. The resulting ice volume curve shows that small ice caps (&lt; 107 km(3)) could have existed during Paleocene and Eocene times. Fluctuations during the Miocene are large, indicating a retreat back from the coast and a vanishing ice flux across the grounding line, but with ice volumes still up to 60% of the present-day volume. The resulting deep-sea temperature curve shows similarities with the paleotemperature curve derived from Mg/Ca in benthic calcite from 25 Ma till the present, which supports the idea that the ice volume is well reproduced for this period. Before 34 Ma, the reproduced deep-sea temperature is slightly higher than is generally assumed. Global sea-level change turns out to be of minor importance when considering the Cenozoic evolution of the ice sheet until 5 Ma.</t>
  </si>
  <si>
    <t>[Van Tuyll, C. I.; Van de Wal, R. S. W.; Oerlemans, J.] Univ Utrecht, Inst Marine &amp; Atmospher Res Utrecht, Princetonpl 5, NL-3584 CC Utrecht, Netherlands</t>
  </si>
  <si>
    <t>Van Tuyll, CI (corresponding author), Univ Utrecht, Inst Marine &amp; Atmospher Res Utrecht, Princetonpl 5, NL-3584 CC Utrecht, Netherlands.</t>
  </si>
  <si>
    <t>c.i.vantuyll@phys.uu.nl</t>
  </si>
  <si>
    <t>van de wal, roderik/D-1705-2011; Oerlemans, Johannes/G-3802-2011</t>
  </si>
  <si>
    <t>van de wal, roderik/0000-0003-2543-3892;</t>
  </si>
  <si>
    <t>Utrecht Center of Geosciences (UCG)</t>
  </si>
  <si>
    <t>This work is financially supported by the Utrecht Center of Geosciences (UCG).</t>
  </si>
  <si>
    <t>10.3189/172756407782871413</t>
  </si>
  <si>
    <t>WOS:000250954200011</t>
  </si>
  <si>
    <t>Wang, C; Beckmann, A</t>
  </si>
  <si>
    <t>Wang, Caixin; Beckmann, Alke</t>
  </si>
  <si>
    <t>Investigation of the impact of Antarctic ice-shelf melting in a global ice-ocean model (ORCA2-LIM)</t>
  </si>
  <si>
    <t>WEDDELL SEA</t>
  </si>
  <si>
    <t>Ice-shelf melting (ISM) removes heat from and injects fresh water into the adjacent ocean and contributes significantly to the freshwater balance and water mass formation in the Antarctic marginal seas. The thermodynamic interaction between ocean and ice shelf is a complicated process and usually not adequately included in the ocean-ice climate models. In this paper, the ISM from all major ice-shelf areas around Antarctica is added to a global coupled ice-ocean model ORCA2-LIM following the parameterization proposed by Beckmann and Goosse (2003). Using interannual forcing data from 1958 through 2000, the impact of ISM on Southern Ocean hydrography and sea-ice distribution is investigated. The model also shows global signatures of the Antarctic ISM.</t>
  </si>
  <si>
    <t>[Wang, Caixin; Beckmann, Alke] Univ Helsinki, Div Geophys, POB 64, FIN-00014 Helsinki, Finland</t>
  </si>
  <si>
    <t>Wang, C (corresponding author), Univ Helsinki, Div Geophys, POB 64, FIN-00014 Helsinki, Finland.</t>
  </si>
  <si>
    <t>caixin.wang@helsinki.fi</t>
  </si>
  <si>
    <t>10.3189/172756407782871602</t>
  </si>
  <si>
    <t>WOS:000250954200012</t>
  </si>
  <si>
    <t>Winberry, JP; Anandakrishnan, S; Smith, AM</t>
  </si>
  <si>
    <t>Winberry, J. Paul; Anandakrishnan, Sridhar; Smith, Andrew M.</t>
  </si>
  <si>
    <t>Changes in speed near the onset of bindschadler ice stream, West Antarctica</t>
  </si>
  <si>
    <t>SUBGLACIAL GEOLOGY; INTERFEROMETRY; BENEATH; RADAR; SHEET; FLOW</t>
  </si>
  <si>
    <t>Ice-stream velocities can change rapidly. Understanding the spatial and temporal pattern of these changes and the forcings responsible is essential for predicting ice-sheet mass balance. Inland migration of the onset location will lead to more efficient drainage of inland ice. One way to monitor the stability of the onset location is to investigate changes in the velocity field. We report on the velocity near the onset of Bindschadler Ice Stream, West Antarctica, in 2002 and compare these data to the velocity measured in 1996. Mean annual velocities were determined by measuring the GPS position of markers during consecutive seasons. We compare our results with similar measurements from 1996 to investigate temporal changes in this ice-stream onset. Our results indicate that only minimal changes have occurred in the speed of the ice stream between 1996 and 2002.</t>
  </si>
  <si>
    <t>[Winberry, J. Paul; Anandakrishnan, Sridhar] Penn State Univ, Ctr Remote Sensing Ice Sheets, University Pk, PA 16802 USA; [Smith, Andrew M.] British Antarctic Survey, NERC, Cambridge CB3 0ET, England</t>
  </si>
  <si>
    <t>Winberry, JP (corresponding author), Penn State Univ, Ctr Remote Sensing Ice Sheets, University Pk, PA 16802 USA.</t>
  </si>
  <si>
    <t>winberry@essc.psu.edu</t>
  </si>
  <si>
    <t>Winberry, Paul/HLQ-2673-2023; Anandakrishnan, Sridhar/JCN-5026-2023</t>
  </si>
  <si>
    <t>Winberry, Paul/0000-0003-1205-0745;</t>
  </si>
  <si>
    <t>US National Science Foundation's Office of Polar Programs; Center for Remote Sensing of Ice Sheets</t>
  </si>
  <si>
    <t>US National Science Foundation's Office of Polar Programs(National Science Foundation (NSF)); Center for Remote Sensing of Ice Sheets</t>
  </si>
  <si>
    <t>This work was supported the US National Science Foundation's Office of Polar Programs and the Center for Remote Sensing of Ice Sheets. We thank all those involved in the 2001/02 and 2002/03 Onset D field parties, the University Navstar Consortium and Raytheon Polar Services for support in the field. We also thank A. Huerta for comments on an early draft, and G. Catania and an anonymous reviewer for suggestions. Data from 1996 were obtained from the US National Snow and Ice Data Center.</t>
  </si>
  <si>
    <t>10.3189/172756407782871521</t>
  </si>
  <si>
    <t>WOS:000250954200013</t>
  </si>
  <si>
    <t>Bevan, S; Luckman, A; Murray, T; Sykes, H; Kohler, J</t>
  </si>
  <si>
    <t>Bevan, Suzanne; Luckman, Adrian; Murray, Tavi; Sykes, Helena; Kohler, Jack</t>
  </si>
  <si>
    <t>Positive mass balance during the late 20th century on Austfonna, Svalbard, revealed using satellite radar interferometry</t>
  </si>
  <si>
    <t>SURGE-TYPE GLACIER; QUIESCENT-PHASE; RADIOACTIVE LAYERS; ICE CAPS; VELOCITY; NORDAUSTLANDET; SPITSBERGEN; KONGSVEGEN</t>
  </si>
  <si>
    <t>Determining whether increasing temperature or precipitation will dominate the cryospheric response to climate change is key to forecasting future sea-level rise. The volume of ice contained in the ice caps and glaciers of the Arctic archipelago of Svalbard is small compared with that of the Greenland or Antarctic ice sheets, but is likely to be affected much more rapidly in the short term by climate change. This study investigates the mass balance of Austforma, Svalbard's largest ice cap. Equilibrium-line fluxes for the whole ice cap, and for individual drainage basins, were estimated by combining surface velocities measured using satellite radar interferometry with ice thicknesses derived from radio-echo sounding. These fluxes were compared with balance fluxes to reveal that during the 1990s the total mass balance of the accumulation zone was (5.6 +/- 2.0) x 10(8) m(3) a(-1). Three basins in the quiescent phase of their surge cycles contributed 75% of this accumulation. The remaining volume may be attributable either to as yet unidentified surge-type glaciers, or to increased precipitation. This result emphasizes the importance of considering the surge dynamics of glaciers when attempting to draw any conclusions on climate change based on snapshot observations of the cryosphere.</t>
  </si>
  <si>
    <t>[Bevan, Suzanne; Luckman, Adrian; Murray, Tavi; Sykes, Helena] Univ Coll Swansea, Sch Environm &amp; Soc, Glaciol Grp, Singleton Pk, Swansea SA2 8PP, W Glam, Wales; [Kohler, Jack] Norwegian Polar Res Inst, Polar Environm Ctr, NO-9296 Tromso, Norway</t>
  </si>
  <si>
    <t>Swansea University; Norwegian Polar Institute</t>
  </si>
  <si>
    <t>Bevan, S (corresponding author), Univ Coll Swansea, Sch Environm &amp; Soc, Glaciol Grp, Singleton Pk, Swansea SA2 8PP, W Glam, Wales.</t>
  </si>
  <si>
    <t>301074@swansea.ac.uk</t>
  </si>
  <si>
    <t>Luckman, Adrian/GVS-1716-2022; Sykes, Helena/K-6508-2015</t>
  </si>
  <si>
    <t>Sykes, Helena/0000-0003-4828-4973; Luckman, Adrian/0000-0002-9618-5905; Kohler, Jack/0000-0003-1963-054X; Murray, Tavi/0000-0001-6714-6512</t>
  </si>
  <si>
    <t>UK Natural Environment Research Council PhD Studentship [NER/S/A/2003/11395]</t>
  </si>
  <si>
    <t>UK Natural Environment Research Council PhD Studentship(UK Research &amp; Innovation (UKRI)Natural Environment Research Council (NERC))</t>
  </si>
  <si>
    <t>The 1996 ERS SAR images were supplied by ESA under the VECTRA project AO108, coordinated by Andrew Shepherd. We are also grateful to Tazio Strozzi of Gamma Remote Sensing who made available the 1994 images, also acquired under VECTRA. Thanks are due to the Norsk Polarinstitutt who kindly supplied the 100 m resolution DEM, Jonathon Bamber for the 1996 airborne laser altimetry data, and to Helena Sykes who georeferenced the glacier inventory maps. Suzanne Bevan was funded by UK Natural Environment Research Council PhD Studentship NER/S/A/2003/11395.</t>
  </si>
  <si>
    <t>10.3189/172756407782871477</t>
  </si>
  <si>
    <t>WOS:000250954200017</t>
  </si>
  <si>
    <t>Hodgkins, R; Fox, A; Nuttall, AM</t>
  </si>
  <si>
    <t>Hodgkins, Richard; Fox, Adrian; Nuttall, Anne-Marie</t>
  </si>
  <si>
    <t>Geometry change between 1990 and 2003 at Finsterwalderbreen, a Svalbard surge-type glacier, from GPS profiling</t>
  </si>
  <si>
    <t>MASS-BALANCE; SPITSBERGEN; VELOCITY; CLIMATE; RUNOFF</t>
  </si>
  <si>
    <t>Surface mass-balance and geometry data are key to quantifying the climate response of glaciers, and confidence in data synthesis and model interpretations and forecasts requires data from as wide a range of locations and glacier types as possible. This paper presents measurements of surface elevation change at the Svalbard surge-type glacier Finsterwaiderbreen, by comparing a 1990 digital elevation model (DEM) with a surface GPS profile from 2003. The pattern of elevation change is consistent with that previously noted between 1970 and 1990, and reflects the continued quiescentphase evolution of the glacier, with mass loss in the down-glacier/receiving area of up to -1.25 m w.e. a(-1), and mass gain in the up-glacier/reservoir area of up to 0.60 m w.e. a(-1); the area-weighted, mean change for the whole glacier is 0.19 rn w.e. a(-1). The spatial pattern of elevation increase and decrease is complex, and the boundary between thickening and thinning determined by combining GPS and DEM data does not appear to correspond with the equilibrium-line altitude determined from surface mass-balance measurements. There is no evidence yet of a decrease in the rate of reservoir area build-up driven by mass-balance change resulting from the warmer winter air temperatures, and decreased proportion of snowfall in total precipitation, noted at meteorological stations in Svalbard.</t>
  </si>
  <si>
    <t>[Hodgkins, Richard] Univ Loughborough, Dept Geog, Loughborough LE11 3TU, Leics, England; [Fox, Adrian] British Antarctic Survey, Mapping Geograph Informat Ctr, Cambridge CB3 0ET, England; [Nuttall, Anne-Marie] Liverpool John Moores Univ, Sch Biol &amp; Earth Sci, Liverpool L3 3AF, Merseyside, England</t>
  </si>
  <si>
    <t>Loughborough University; UK Research &amp; Innovation (UKRI); Natural Environment Research Council (NERC); NERC British Antarctic Survey; Liverpool John Moores University</t>
  </si>
  <si>
    <t>Hodgkins, R (corresponding author), Univ Loughborough, Dept Geog, Loughborough LE11 3TU, Leics, England.</t>
  </si>
  <si>
    <t>r.hodgkinsc@lboro.ac.uk</t>
  </si>
  <si>
    <t>Hodgkins, Richard/F-5430-2011</t>
  </si>
  <si>
    <t>Nuttall, Anne-Marie/0000-0002-6716-3491</t>
  </si>
  <si>
    <t>Royal Holloway, University of London; Liverpool John Moores University; British Antarctic Survey</t>
  </si>
  <si>
    <t>Funding was provided by Royal Holloway, University of London, and Liverpool John Moores University and by the British Antarctic Survey.</t>
  </si>
  <si>
    <t>10.3189/172756407782871189</t>
  </si>
  <si>
    <t>WOS:000250954200019</t>
  </si>
  <si>
    <t>Pope, A; Murray, T; Luckman, A</t>
  </si>
  <si>
    <t>Pope, Addy; Murray, Tavi; Luckman, Adrian</t>
  </si>
  <si>
    <t>DEM quality assessment for quantification of glacier surface change</t>
  </si>
  <si>
    <t>DIGITAL ELEVATION MODELS; MASS-BALANCE; TOPOGRAPHY; SVALBARD; CLIMATE</t>
  </si>
  <si>
    <t>Photogrammetric digital elevation models (DEMs) are often used to derive and monitor surfaces in inaccessible areas. They have been used to monitor the spatial and temporal change of glacier surfaces in order to assess glacier response to climate change. However, deriving photogrammetric DEMs of steep mountainous topography where the surface is often obscured by regions of deep shadow and snow is particularly difficult. Assessing the quality of the derived surface can also be problematic, as high-accuracy ground-control points may be limited and poorly distributed throughout the modelled area. We present a method of assessing the quality of a derived surface through a detailed sensitivity analysis of the DEM collection parameters through a multiple input failure warning model (MIFWM). The variance of a DEM cell elevation is taken as an indicator of surface reliability allowing potentially unreliable areas to be excluded from further analysis. This analysis allows the user to place greater confidence in the remaining DEM. An example of this method is presented for a small mountain glacier in Svalbard, and the MIFWM is shown to label as unreliable more DEM cells over the entire DEM area, but fewer over the glacier surface, than other methods of data quality assessment. The MIFWM is shown to be an effective and easily used method for assessing DEM surface quality.</t>
  </si>
  <si>
    <t>[Pope, Addy; Murray, Tavi; Luckman, Adrian] Univ Coll Swansea, Sch Environm &amp; Soc, Swansea SA2 8PP, W Glam, Wales</t>
  </si>
  <si>
    <t>Swansea University</t>
  </si>
  <si>
    <t>Pope, A (corresponding author), JBA Consulting, Skipton, N Yorkshire BD23 3AF, England.</t>
  </si>
  <si>
    <t>tmurray@swansea.ac.uk</t>
  </si>
  <si>
    <t>Luckman, Adrian/GVS-1716-2022</t>
  </si>
  <si>
    <t>Luckman, Adrian/0000-0002-9618-5905; Murray, Tavi/0000-0001-6714-6512</t>
  </si>
  <si>
    <t>UK Natural Environment Research Council (NERC) studentship [GT4/00/294]; Royal Geographical Society</t>
  </si>
  <si>
    <t>UK Natural Environment Research Council (NERC) studentship(UK Research &amp; Innovation (UKRI)Natural Environment Research Council (NERC)); Royal Geographical Society</t>
  </si>
  <si>
    <t>The research was supported through a UK Natural Environment Research Council (NERC) studentship award (GT4/00/294), and additional financial support for fieldwork was provided by the Royal Geographical Society. Archived aerial images and ground-truth survey data were provided by the NP, and we specifically thank J. Kohler and H.F. Aas. In addition, thanks are due to to N. Cox at the British Antarctic Survey for his help and guidance in his role as NERC base manager in Ny Alesund, to T. James for his help throughout the research and to N. Barrand for comments on the text.</t>
  </si>
  <si>
    <t>10.3189/172756407782871792</t>
  </si>
  <si>
    <t>WOS:000250954200027</t>
  </si>
  <si>
    <t>Cullen, NJ; Mölg, T; Kaser, G; Steffen, K; Hardy, DR</t>
  </si>
  <si>
    <t>Cullen, Nicolas J.; Moelg, Thomas; Kaser, Georg; Steffen, Konrad; Hardy, Douglas R.</t>
  </si>
  <si>
    <t>Energy-balance model validation on the top of Kilimanjaro, Tanzania, using eddy covariance data</t>
  </si>
  <si>
    <t>GLACIER RECESSION; ANTARCTIC SNOW; SURFACE; ICE; ROUGHNESS</t>
  </si>
  <si>
    <t>Eddy covariance data collected over a horizontal surface on the largest ice body on Kilimanjaro, Tanzania, over 26-29 July 2005 were used to assess the uncertainty of calculating sublimation with a surface energy balance (SEB) model. Data required for input to the SEB model were obtained from an existing automatic weather station. Surface temperatures that were solved iteratively by the SEB model were used to compute emitted longwave radiation, turbulent heat fluxes using the aerodynamic bulk method and the subsurface heat flux. Roughness lengths for momentum and temperature, which were found to be the most important input parameters controlling the magnitude of modelled (bulk method) turbulent heat fluxes, were obtained using eddy covariance data. The roughness length for momentum was estimated to be 1.7 x 10(-3) M, while the length for temperature was one order of magnitude smaller. Modelled sensible and latent heat fluxes (bulk method) compared well to eddy covariance data, with root-mean-square differences between 3.1 and 4.8 W m(-2) for both turbulent heat fluxes. Modelled sublimation accounted for about 90% of observed ablation, confirming that mass loss by melting is much less important than sublimation on the horizontal surfaces of the remaining plateau glaciers on Kilimanjaro.</t>
  </si>
  <si>
    <t>Univ Otago, Dept Geog, POB 56, Dunedin, New Zealand</t>
  </si>
  <si>
    <t>University of Otago</t>
  </si>
  <si>
    <t>Cullen, NJ (corresponding author), Univ Otago, Dept Geog, POB 56, Dunedin, New Zealand.</t>
  </si>
  <si>
    <t>njc@geography.otago.ac.nz</t>
  </si>
  <si>
    <t>Mölg, Thomas/I-8131-2013; Steffen, Konrad/C-6027-2013</t>
  </si>
  <si>
    <t>Kaser, Georg/0000-0001-5916-6206; Cullen, Nicolas James/0000-0001-8877-1325</t>
  </si>
  <si>
    <t>Austrian Science Foundation (FWF) [P17415-N10]; Tyrolean Science Foundation (Tiroler Wissenschaftsfond); US National Science Foundation; US National Oceanic and Atmospheric Administration (NOAA) [0402557]; NASA [NNG05GN68G]; Tanzania Meteorological Agency; Commission of Science and Technology (COSTECH); Austrian Science Fund (FWF) [P17415] Funding Source: Austrian Science Fund (FWF)</t>
  </si>
  <si>
    <t>Austrian Science Foundation (FWF)(Austrian Science Fund (FWF)); Tyrolean Science Foundation (Tiroler Wissenschaftsfond); US National Science Foundation(National Science Foundation (NSF)); US National Oceanic and Atmospheric Administration (NOAA)(National Oceanic Atmospheric Admin (NOAA) - USA); NASA(National Aeronautics &amp; Space Administration (NASA)); Tanzania Meteorological Agency; Commission of Science and Technology (COSTECH); Austrian Science Fund (FWF)(Austrian Science Fund (FWF))</t>
  </si>
  <si>
    <t>This study is funded by the Austrian Science Foundation (FWF) under grant No. P17415-N10, the Tyrolean Science Foundation (Tiroler Wissenschaftsfond), the US National Science Foundation and the US National Oceanic and Atmospheric Administration (NOAA) Office of Global Programs, Climate Change Data and Detection Program, under grant No. 0402557 and NASA ICES at Mission (NNG05GN68G). Local support is provided by the Tanzania Meteorological Agency and the Commission of Science and Technology (COSTECH).</t>
  </si>
  <si>
    <t>10.3189/172756407782871224</t>
  </si>
  <si>
    <t>WOS:000250954200033</t>
  </si>
  <si>
    <t>Reusch, DB; Alley, RB</t>
  </si>
  <si>
    <t>Reusch, David B.; Alley, Richard B.</t>
  </si>
  <si>
    <t>Antarctic sea ice: a self-organizing map-based perspective</t>
  </si>
  <si>
    <t>SOUTHERN-OSCILLATION; CLIMATE</t>
  </si>
  <si>
    <t>Self-organizing maps (SOMs) provide a powerful, non-linear technique to optimally summarize a complex geophysical dataset using a user-selected number of 'icons' or SOM states, allowing rapid identification of preferred patterns, predictability of transitions, rates of transitions, and hysteresis in cycles. The use of SOMs is demonstrated here through application to a 24 year dataset (1973-96) of monthly Antarctic sea-ice edge positions. Variability in sea-ice extent, concentration and other physical characteristics is an important component of the Earth's dynamic climate system, particularly in the Southern Hemisphere where annual changes in sea-ice extent (temporarily) double the size of the Antarctic cryosphere. SOM-based patterns concisely capture the spatial and temporal variability in these data, including the annual progression of expansion and retreat, a general eastward propagation of anomalies during the winter, and sub-annual variability in the rate of change in extent at different times of the year (e.g. retreat in January is faster than in November). There is also often a general seasonal hysteresis, i.e. monthly anomalies during cooling follow a different spatial path than during warming.</t>
  </si>
  <si>
    <t>[Reusch, David B.] Penn State Univ, EMS Earth &amp; Environm Syst Inst, University Pk, PA 16802 USA; [Alley, Richard B.] Penn State Univ, EMS Earth &amp; Environm Syst Inst, Dept Geosci,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</si>
  <si>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</si>
  <si>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Reusch, DB (corresponding author), Penn State Univ, EMS Earth &amp; Environm Syst Inst, University Pk, PA 16802 USA.</t>
  </si>
  <si>
    <t>dbr@geosc.psu.edu</t>
  </si>
  <si>
    <t>Reusch, David/0000-0002-7582-363X</t>
  </si>
  <si>
    <t>US National Science Foundation [ATM 04-25592]; G. Comer Foundation; Center for Remote Sensing of Ice Sheets [NSF-0424589]</t>
  </si>
  <si>
    <t>US National Science Foundation(National Science Foundation (NSF)); G. Comer Foundation; Center for Remote Sensing of Ice Sheets</t>
  </si>
  <si>
    <t>This work is supported by US National Science Foundation grant ATM 04-25592 to D.B. Reusch and R.B. Alley. We also acknowledge partial support from the G. Comer Foundation and the Center for Remote Sensing of Ice Sheets (NSF-0424589). Sea-ice edge data used within this paper were obtained from the Australian Antarctic Data Centre (IDN Node AMD/AU), a part of the Australian Antarctic Division (Commonwealth of Australia). The data are described in the metadata record Antarctic CRC and Australian Antarctic Division Climate Dataset Northern extent of Antarctic sea ice(T.H.Jacka,http://http://aadcdb.aad.gov.au/KeywordSearch/Home.do?Portal=amd_au&amp;MetadataType=0). We are also grateful to the US National Center for Atmospheric Research (NCAR) Visualization and Enabling Technologies Section, Scientific Computing Division, for their tireless support of NCL (the NCAR Command Language).</t>
  </si>
  <si>
    <t>10.3189/172756407782871549</t>
  </si>
  <si>
    <t>WOS:000250954200057</t>
  </si>
  <si>
    <t>Renner, AHH; Lytle, V</t>
  </si>
  <si>
    <t>Renner, Angelika H. H.; Lytle, Victoria</t>
  </si>
  <si>
    <t>Sea-ice thickness in the Weddell Sea, Antarctica: a comparison of model and upward-looking sonar data</t>
  </si>
  <si>
    <t>CLIMATE; VARIABILITY; CIRCULATION; TRANSPORT; COVERAGE; DRAFT; WATER</t>
  </si>
  <si>
    <t>Sea-ice thickness is a key parameter for estimates of salt fluxes to the ocean and the contribution to global thermohaline circulation. Observations of sea-ice thickness in the Southern Ocean are sparse and difficult to collect. An exception to this data gap is time-series data from upward-looking sonars (ULS) which sample the drifting sea ice continuously. In this study we use ULS data from ten different locations over periods ranging from 9 to 25 months to compare with model data. Although these data are limited in space and time, they provide a qualitative indication of the ability of global climate models (GCMs) to adequately represent Southern Ocean sea ice. We compare the ULS data to output from four different GCMs (BCCR-BCM2.0, ECHAM5/MPI-OM, UKMO-HadCM3 and NCAR CCSM3) which were used for the Fourth Assessment Report of the Intergovernmental Panel on Climate Change. They simulate the ice thickness reasonably well, but in most cases average model ice thickness is less than thicknesses derived from ULS data. The seasonal cycle produced by the models correlates well with the ULS except for locations near Maud Rise, where in summer the ULS find a low concentration of thick ice floes. This overly thin ice will have implications for both the salt flux to the central Weddell Sea during the growth season and the freshwater flux during the melt season. Using satellite-derived ice-drift data to calculate transports in the Weddell Sea, we find that the underestimation of ice thickness results in underestimated salt fluxes.</t>
  </si>
  <si>
    <t>[Renner, Angelika H. H.; Lytle, Victoria] Polar Environm Ctr, Norwegian Polar Inst, Clic Int Project Off, NO-9296 Tromso, Norway</t>
  </si>
  <si>
    <t>Norwegian Polar Institute</t>
  </si>
  <si>
    <t>Renner, AHH (corresponding author), Polar Environm Ctr, Norwegian Polar Inst, Clic Int Project Off, NO-9296 Tromso, Norway.</t>
  </si>
  <si>
    <t>ahhre@bas.ac.uk</t>
  </si>
  <si>
    <t>Renner, Angelika/0000-0002-9997-6366</t>
  </si>
  <si>
    <t>World Climate Research Program (WCRP) Climate; Cryosphere Project (CLiC) Office</t>
  </si>
  <si>
    <t>The model data were supplied by the Program for Climate Model Diagnosis and Intercomparison (PCMDI). We thank the various modeling groups for making their simulations available for analysis. The ULS data were archived at NSIDC by the AWI. Sea-ice motion data were obtained from the Atlas of Antarctic Sea Ice Drift. Comments by S. Laxon and two anonymous reviewers are gratefully acknowledged. This study was funded in part by the World Climate Research Program (WCRP) Climate and Cryosphere Project (CLiC) Office.</t>
  </si>
  <si>
    <t>10.3189/172756407782871350</t>
  </si>
  <si>
    <t>WOS:000250954200061</t>
  </si>
  <si>
    <t>Bentley, CR; Koci, BR</t>
  </si>
  <si>
    <t>Wilhelms, F</t>
  </si>
  <si>
    <t>Bentley, Charles R.; Koci, Bruce R.</t>
  </si>
  <si>
    <t>Drilling to the beds of the Greenland and Antarctic ice sheets: a review</t>
  </si>
  <si>
    <t>ANNALS OF GLACIOLOGY, VOL 47, 2007</t>
  </si>
  <si>
    <t>ANNALS OF GLACIOLOGY</t>
  </si>
  <si>
    <t>6th International Workshop on Ice Drilling Technology</t>
  </si>
  <si>
    <t>SEP 17-23, 2006</t>
  </si>
  <si>
    <t>Shepherdstown, WV</t>
  </si>
  <si>
    <t>SHELF PROJECT; TEMPERATURE; NORTHERN; ACCESS; CORE; FLOW; DOME</t>
  </si>
  <si>
    <t>We give a review of drilling to the beds of the Greenland and Antarctic ice sheets, with a history of just a century. We use a chronological rather than a geographical ordering to emphasize the way drilling has developed. The review is divided into two parts: core drilling and hole-only drilling for access to the beds or the deep interior of the ice sheets. This is an overview, not a comprehensive report on each project. While we have endeavoured to include all projects that fit our selection criteria, we have not provided all the technical details.</t>
  </si>
  <si>
    <t>[Bentley, Charles R.; Koci, Bruce R.] Univ Wisconsin, Ice Coring &amp; Drilling Serv, Madison, WI 53706 USA</t>
  </si>
  <si>
    <t>Bentley, CR (corresponding author), Univ Wisconsin, Ice Coring &amp; Drilling Serv, 1225 W Dayton St, Madison, WI 53706 USA.</t>
  </si>
  <si>
    <t>bentley@geology.wisc.edu</t>
  </si>
  <si>
    <t>ANN GLACIOL</t>
  </si>
  <si>
    <t>10.3189/172756407786857695</t>
  </si>
  <si>
    <t>Engineering, Geological; Geography, Physical; Geosciences, Multidisciplinary</t>
  </si>
  <si>
    <t>Engineering; Physical Geography; Geology</t>
  </si>
  <si>
    <t>BIZ69</t>
  </si>
  <si>
    <t>WOS:000263999200001</t>
  </si>
  <si>
    <t>Vasiliev, NI; Talalay, PG; Bobin, NE; Chistyakov, VK; Zubkov, VM; Krasilev, A; Dmitriev, AN; Yankilevich, SV; Lipenkov, VY</t>
  </si>
  <si>
    <t>Vasiliev, N. I.; Talalay, P. G.; Bobin, N. E.; Chistyakov, V. K.; Zubkov, V. M.; Krasilev, A. V.; Dmitriev, A. N.; Yankilevich, S. V.; Lipenkov, V. Ya.</t>
  </si>
  <si>
    <t>Deep drilling at Vostok station, Antarctica: history and recent events</t>
  </si>
  <si>
    <t>Deep drilling into the ice sheet at Vostok station, Antarctica, was started by specialists of the Leningrad Mining Institute (since 1991, St Petersburg State Mining Institute) in 1970. Five deep holes were cored: hole No. 1 to 952 m; hole No. 2 to 450.4 m; hole No. 3G (3G-1, 3G-2) to 2201.7 m; hole No. 4G (4G-1, 4G-2) to 2546.4 m; and hole No. SG (5G-1) to 3650.2 m depth. Drilling of hole 5G-1 is not yet complete. The deep drilling at Vostok station has had successes and problems. All the deep holes at Vostok have undergone at least one offset drilling operation because of problems with lost drills. These deviations were made successfully using a thermal drilling technique. Several drilling records have been achieved at Vostok station. The deepest dry hole, No. 1 (952 m), was made during Soviet Antarctic Expedition (SAE) 17 in 1972. The deepest fluid-filled hole, No. 5G-1, made by a thermal drill (TBZS-132), reached 2755 m during SAE 38 in 1993. The deepest fluid-filled hole in ice, No. 5G-1, was drilled with a KEMS-132 electromechanical drill and was stopped above Vostok Subglacial Lake at 3650.2 m depth during Russian Antarctic Expedition (RAE) 51 in 2006.</t>
  </si>
  <si>
    <t>[Vasiliev, N. I.; Talalay, P. G.; Bobin, N. E.; Chistyakov, V. K.; Zubkov, V. M.; Krasilev, A. V.; Dmitriev, A. N.; Yankilevich, S. V.] St Petersburg Min Inst, 21 Line 2, St Petersburg 199026, Russia; [Lipenkov, V. Ya.] Arctic &amp; Antarctic Res Inst, St Petersburg 199397, Russia</t>
  </si>
  <si>
    <t>Saint Petersburg Mining University; Arctic &amp; Antarctic Research Institute</t>
  </si>
  <si>
    <t>Vasiliev, NI (corresponding author), St Petersburg Min Inst, 21 Line 2, St Petersburg 199026, Russia.</t>
  </si>
  <si>
    <t>talalay@PT15797.spb.edu</t>
  </si>
  <si>
    <t>Vasilyev, Nikolay I./AAS-2261-2020; Talalay, Pavel/AAH-2908-2020; Lipenkov, Vladimir/Q-8262-2016</t>
  </si>
  <si>
    <t>Vasilyev, Nikolay I./0000-0002-2279-699X; Talalay, Pavel/0000-0002-8230-4600; Dmitriev, Andrey/0000-0003-4615-3179; Lipenkov, Vladimir/0000-0003-4221-5440</t>
  </si>
  <si>
    <t>10.3189/172756407786857776</t>
  </si>
  <si>
    <t>WOS:000263999200002</t>
  </si>
  <si>
    <t>Shturmakov, AJ; Lebar, DA; Mason, WP; Bentley, CR</t>
  </si>
  <si>
    <t>Shturmakov, Alexander J.; Lebar, Donald A.; Mason, William P.; Bentley, Charles R.</t>
  </si>
  <si>
    <t>A new 122 mm electromechanical drill for deep ice-sheet coring (DISC): 1. Design concepts</t>
  </si>
  <si>
    <t>The Deep Ice Sheet Coring (DISC) drill, developed by Ice Coring and Drilling Services (ICDS) under contract with the US National Science Foundation, is an electromechanical drill designed to take 122 mm diameter ice cores to depths of 4000 m. The conceptual design of the DISC drill was developed in 2002/03 based on science requirements written by K. Taylor and the United States ice-coring community and on engineering performance objectives. Detailed design of the drill began in June 2003. Special attention was paid to building safety into the design and operation of the drill system. The drill was designed and manufactured by a team of engineers and technicians from the University of Wisconsin-Madison and various subcontractors with assistance from the science community, the European ice-drilling community and polar logistical support organizations. ICDS successfully tested the drill in Greenland in 2006 and will continue its development to meet the science objectives of the West Antarctic Ice Sheet Divide Ice Core Project.</t>
  </si>
  <si>
    <t>[Shturmakov, Alexander J.; Lebar, Donald A.; Mason, William P.; Bentley, Charles R.] Univ Wisconsin, Ctr Space Sci &amp; Engn, Ice Coring &amp; Drilling Serv, Madison, WI 53706 USA</t>
  </si>
  <si>
    <t>Shturmakov, AJ (corresponding author), Univ Wisconsin, Ctr Space Sci &amp; Engn, Ice Coring &amp; Drilling Serv, 1225 W Dayton St, Madison, WI 53706 USA.</t>
  </si>
  <si>
    <t>alex.shturmakov@ssec.wisc.edu</t>
  </si>
  <si>
    <t>10.3189/172756407786857811</t>
  </si>
  <si>
    <t>WOS:000263999200004</t>
  </si>
  <si>
    <t>Augustin, L; Motoyama, H; Wilhelms, F; Johnsen, S; Hansen, SB; Talalay, P; Vasiliev, N</t>
  </si>
  <si>
    <t>Augustin, L.; Motoyama, H.; Wilhelms, F.; Johnsen, S.; Hansen, S. B.; Talalay, P.; Vasiliev, N.</t>
  </si>
  <si>
    <t>Drilling comparison in 'warm ice' and drill design comparison</t>
  </si>
  <si>
    <t>For the deep ice-core drilling community, the 2005/06 Antarctic season was an exciting and fruitful one. In three different Antarctic locations, Dome Fuji, EPICA DML and Vostok, deep drillings approached bedrock (the ice-water interface in the case of Vostok), emulating what had previously been achieved at NorthGRIP, Greenland, (summer 2003 and 2004) and at EPICA Dome C2, Antarctica (season 2004/05). For the first time in ice-core drilling history, three different types of drill (KEMS, JARE and EPICA) simultaneously reached the depth of 'warm ice' under high pressure. After excellent progress at each site, the drilling rate dropped and the drilling teams had to deal with refrozen ice on cutters and drill heads. Drills have different limits and perform differently. In this comparative study, we examine depth, pressure, temperature, pump flow and cutting speed. Finally, we compare a few parameters of ten different deep drills.</t>
  </si>
  <si>
    <t>[Augustin, L.] Univ Grenoble 1, CNRS, Lab Glaciol &amp; Geophys Environm, 54 Rue Molire,BP 96, F-38402 St Martin Dheres, France; [Motoyama, H.] Natl Inst Polar Res, Itabashi Ku, Tokyo 1738515, Japan; [Wilhelms, F.] Alfred Wegener Inst Polar &amp; Meersforsch, D-27570 Bremerhaven, Germany; [Johnsen, S.; Hansen, S. B.] Univ Copenhagen, Dept Geophys, DK-2100 Copenhagen, Denmark; [Talalay, P.; Vasiliev, N.] St Petersburg State Min Inst, St Petersburg 199106, Russia</t>
  </si>
  <si>
    <t>Communaute Universite Grenoble Alpes; Universite Grenoble Alpes (UGA); Centre National de la Recherche Scientifique (CNRS); Research Organization of Information &amp; Systems (ROIS); National Institute of Polar Research (NIPR) - Japan; Helmholtz Association; Alfred Wegener Institute, Helmholtz Centre for Polar &amp; Marine Research; University of Copenhagen; Saint Petersburg Mining University</t>
  </si>
  <si>
    <t>Augustin, L (corresponding author), Univ Grenoble 1, CNRS, Lab Glaciol &amp; Geophys Environm, 54 Rue Molire,BP 96, F-38402 St Martin Dheres, France.</t>
  </si>
  <si>
    <t>laurent.augustin@ssec.wisc.edu</t>
  </si>
  <si>
    <t>Wilhelms, Frank/KEI-8426-2024; Vasilyev, Nikolay I./AAS-2261-2020</t>
  </si>
  <si>
    <t>Wilhelms, Frank/0000-0001-7688-3135; Vasilyev, Nikolay I./0000-0002-2279-699X; Talalay, Pavel/0000-0002-8230-4600</t>
  </si>
  <si>
    <t>European Union; FP6 STREP EPICA-MIS</t>
  </si>
  <si>
    <t>European Union(European Union (EU)); FP6 STREP EPICA-MIS(Marie Curie ActionsEuropean Union (EU))</t>
  </si>
  <si>
    <t>We thank all the institutions and funding agencies of the different projects who have given this generation of drillers the unique opportunity of having all these deep-drilling projects take place within a few years. We warmly thank all the participants in the different drilling projects who have enabled these data to be collected and made this comparative study possible. This work is a contribution to the European Project for Ice Coring in Antarctica (EPICA), a joint European Science Foundation/European Commission scientific programme, funded by the European Union and by national contributions from Belgium, Denmark, France, Germany, Italy, the Netherlands, Norway, Sweden, Switzerland and the United Kingdom. The main logistic support was provided by Institut Polaire Francais-Emile Victor (IPEV) and Programma Nazionale di Ricerche in Antartide (PNRA) (at Dome C) and the Alfred-Wegener-Institut (at Dronning Maud Land). This is EPICA publication no. 203. Additional funding support was provided by the FP6 STREP EPICA-MIS.</t>
  </si>
  <si>
    <t>10.3189/172756407786857820</t>
  </si>
  <si>
    <t>WOS:000263999200011</t>
  </si>
  <si>
    <t>Mulvaney, R; Alemany, O; Possenti, P</t>
  </si>
  <si>
    <t>Mulvaney, Robert; Alemany, Olivier; Possenti, Philippe</t>
  </si>
  <si>
    <t>The Berkner Island (Antarctica) ice-core drilling project</t>
  </si>
  <si>
    <t>LAST DEGLACIATION; BIPOLAR SEESAW; CIRCULATION; GREENLAND; RECORDS</t>
  </si>
  <si>
    <t>We describe a project to retrieve a 948 m deep ice core from Berkner Island, Antarctica. Using relatively lightweight logistics and a small team, the drilling operation over three austral summer seasons used electromechanical drilling technology, described in detail, from a covered shallow pit and a fluid-filled borehole. A basal temperature well below pressure-melting point meant that no drilling problems were encountered when approaching the bed and the borehole penetrated through to the base of the ice sheet, and sediment was retrieved from beneath the ice.</t>
  </si>
  <si>
    <t>[Mulvaney, Robert] British Antarctic Survey, NERC, Madingley Rd, Cambridge CB3 0ET, England; [Alemany, Olivier; Possenti, Philippe] Univ Joseph Fourier Grenoble I, CNRS, Lab Glaciol &amp; Geophys Environm, F-38402 St Martin Dheres, France</t>
  </si>
  <si>
    <t>UK Research &amp; Innovation (UKRI); Natural Environment Research Council (NERC); NERC British Antarctic Survey; Centre National de la Recherche Scientifique (CNRS); Communaute Universite Grenoble Alpes; Universite Grenoble Alpes (UGA)</t>
  </si>
  <si>
    <t>Mulvaney, R (corresponding author), British Antarctic Survey, NERC, Madingley Rd, Cambridge CB3 0ET, England.</t>
  </si>
  <si>
    <t>r.mulvaney@bas.ac.uk</t>
  </si>
  <si>
    <t>Mulvaney, Robert/K-3929-2012</t>
  </si>
  <si>
    <t>Mulvaney, Robert/0000-0002-5372-8148</t>
  </si>
  <si>
    <t>British Antarctic Survey and Natural Environment Research Council of the UK; Institut Polaire Francais-Paul Emile Victor and Institut National des Sciences de l'Univers of France</t>
  </si>
  <si>
    <t>This project was financed by the British Antarctic Survey and Natural Environment Research Council of the UK, and the Institut Polaire Francais-Paul Emile Victor and Institut National des Sciences de l'Univers of France. The members of the field teams over the four seasons of the project contributed enormously to making the drilling successful: S. Bernard, G. Littot, T. McCormack, A. Bory, G. Teste, M. Calzas, S. Foord, E. Thomas, E. Lefebvre, J. Triest, D. Ellis, A. Berry, S. Herniman and T. O'Donovan. The authors particularly thank their colleagues in the field for making the whole project thoroughly enjoyable. They also express their sincere thanks to the Operations and Logistics teams of BAS for their support throughout, and to the members of Halley Station for their efforts in handling all the cargo and the ice cores during the project.</t>
  </si>
  <si>
    <t>10.3189/172756407786857758</t>
  </si>
  <si>
    <t>WOS:000263999200019</t>
  </si>
  <si>
    <t>Panichi, S; Querci, M; Arrighi, C; Lefebvre, E; Frascati, F; Armeni, M; Benamati, G; Augustin, L; Antonelli, A; Nucci, S</t>
  </si>
  <si>
    <t>Panichi, S.; Querci, M.; Arrighi, C.; Lefebvre, E.; Frascati, F.; Armeni, M.; Benamati, G.; Augustin, L.; Antonelli, A.; Nucci, S.</t>
  </si>
  <si>
    <t>EPICA Dome C electronic control system</t>
  </si>
  <si>
    <t>A new deep drill has been developed within the framework of the European Programme for Ice Coring in Antarctica (EPICA). Several versions of the EPICA drill exist. The version used at Dome Concordia (75 degrees 06'1 '' S, 123 degrees 23'71 '' E) was operated with a new electronic control system developed by the Ente per le Nuove tecnologie, l'Energia e l'Ambiente (ENEA) Research Center in Brasimone, Italy. This electronic control system was used for the first time during the 1997/98 Antarctic summer season.</t>
  </si>
  <si>
    <t>[Panichi, S.; Querci, M.; Arrighi, C.; Frascati, F.; Armeni, M.; Benamati, G.; Nucci, S.] Ctr Ric Brasimone, ENEA, I-40032 Camugnano, BO, Italy; [Lefebvre, E.; Augustin, L.] Univ Joseph Fourier Grenoble I, CNRS, Lab Glaciol &amp; Geophys Environm, F-38041 Grenoble, France; [Antonelli, A.] Fandis SpA, I-28040 Borgoticino, NO, Italy</t>
  </si>
  <si>
    <t>Italian National Agency New Technical Energy &amp; Sustainable Economics Development; Centre National de la Recherche Scientifique (CNRS); Communaute Universite Grenoble Alpes; Universite Grenoble Alpes (UGA)</t>
  </si>
  <si>
    <t>Panichi, S (corresponding author), Ctr Ric Brasimone, ENEA, I-40032 Camugnano, BO, Italy.</t>
  </si>
  <si>
    <t>saverio.panichi@brasimone.enea.it</t>
  </si>
  <si>
    <t>European Union</t>
  </si>
  <si>
    <t>European Union(European Union (EU))</t>
  </si>
  <si>
    <t>We thank everyone who worked with us on this project, both in Brasimone and at Dome Concordia. Special thanks to the people from Laboratoire de Glaciologie et Geophysique de L'Environnement in Grenoble, P. Possenti and A. Manouvrier, and to J. Schwander from the University of Bern. Finally, particular thanks to the memory of two people who are no longer with us, Niels Gundestrup from Denmark and Mario Zucchelli from Italy, without whom EPICA would not have been possible. This work is a contribution to the European Projectfor Ice Coring in Antarctica (EPICA), a joint European Science Foundation/European Commission scientific programme, funded by the European Union and by national contributions from Belgium, Denmark, France, Germany, Italy, the Netherlands, Norway, Sweden, Switzerland and the United Kingdom. The main logistic support was provided by Institut Polaire Francais-Emile Victor and Programma Nazionale di Ricerche in Antartide (at Dome C) and the AIfred- Wegener-Institut (in Dronning Maud Land).</t>
  </si>
  <si>
    <t>10.3189/172756407786857749</t>
  </si>
  <si>
    <t>WOS:000263999200021</t>
  </si>
  <si>
    <t>Soreng, RJ; Gillespie, LJ</t>
  </si>
  <si>
    <t>Soreng, Robert J.; Gillespie, Lynn J.</t>
  </si>
  <si>
    <t>Nicoraepoa (Poaceae, Poeae), a new South American genus based on Poa subg. Andinae, and emendation of Poa sect. Parodiochloa of the sub-antarctic Islands</t>
  </si>
  <si>
    <t>ANNALS OF THE MISSOURI BOTANICAL GARDEN</t>
  </si>
  <si>
    <t>Austrofestuca; Bellardiochloa; Festucella; Hookerochloa; Nicoraepoa; Parodiochloa; Poa; Poaceae; Poinae; Tzvelevia</t>
  </si>
  <si>
    <t>PHYLOGENETIC ANALYSIS; GRASSES</t>
  </si>
  <si>
    <t>Poa subg. Andinae Nicora (Poaceae, tribe Poeae) is raised to the rank of genus, here renamed as Nicoraepoa Soreng &amp; L. J. Gillespie. Six specific and one infraspecific combinations are made: N. andina (Trin.) Soreng &amp; L. J. Gillespie, N. chonotica (Phil.) Soreng &amp; L. J. Gillespie, A erinacea (Speg.) Soreng &amp; L. J. Gillespie, N. pagionifolia (Speg.) Soreng &amp; L. J. Gillespie, N. robusta (Steud.) Soreng &amp; L. J. Gillespie, N. subenervis (Hack.) Soreng &amp; L. J. Gillespie, and N. subenervis subsp. spegazziniana (Nicora) Soreng &amp; L. J. Gillespie. Lectotypes are designated for N. pugionifolia and N. subenervis. Taxonomy and nomenclature of similar Southern Hemisphere island species of Poa L. and other related genera are discussed. Poa sect. Parodiochloa (C. E. Hubb.) Soreng is emended to include, in addition to P. flabellata (Lam.) Raspail, P. cookii (Hook. f.) Hook. I., P. foliosa (Hook. f.) Hook. L, P. hamiltoni Kirk, P. ramosissiam Hook. f., and P. tennantiana Petrie. The one species of Tzvelevia E. B. Alexeev is reunited with Poa, and the genus is transferred to Poa sect. Tzvelevia (E. B. Alexeev) Soreng &amp; L. J. Gillespie. Morphological and anatomical characteristics of Nicoraepoa, Poa sect. Parodiochloa, and similar genera in Poinae are compared. Leaf blade morphology and anatomy were found to be particularly useful in characterizing Nicoraepoa and related taxa. A key is provided to distinguish Nicoraepoa, Poa sect. Parodiochloa, and morphologically similar perennial genera of Poinae.</t>
  </si>
  <si>
    <t>[Soreng, Robert J.] Natl Museum Nat Hist, Dept Bot, Smithsonian Inst, Washington, DC 20013 USA; [Gillespie, Lynn J.] Canadian Museum Nat, Ottawa, ON K1P 6P4, Canada</t>
  </si>
  <si>
    <t>Smithsonian Institution; Smithsonian National Museum of Natural History</t>
  </si>
  <si>
    <t>Soreng, RJ (corresponding author), Natl Museum Nat Hist, Dept Bot, Smithsonian Inst, Washington, DC 20013 USA.</t>
  </si>
  <si>
    <t>sorengr@si.edu; lgillespie@mus-nature.ca</t>
  </si>
  <si>
    <t>Soreng, Robert/0000-0002-8358-4915</t>
  </si>
  <si>
    <t>MISSOURI BOTANICAL GARDEN</t>
  </si>
  <si>
    <t>ST LOUIS</t>
  </si>
  <si>
    <t>2345 TOWER GROVE AVENUE, ST LOUIS, MO 63110 USA</t>
  </si>
  <si>
    <t>0026-6493</t>
  </si>
  <si>
    <t>ANN MO BOT GARD</t>
  </si>
  <si>
    <t>Ann. Mo. Bot. Gard.</t>
  </si>
  <si>
    <t>10.3417/0026-6493(2007)94[821:NPPANS]2.0.CO;2</t>
  </si>
  <si>
    <t>242VJ</t>
  </si>
  <si>
    <t>WOS:000251754000005</t>
  </si>
  <si>
    <t>Bahrim, GE; Scântee, M; Negoita, T</t>
  </si>
  <si>
    <t>Bahrim, Gabriela Elena; Scantee, Mihaela; Negoita, Teodor</t>
  </si>
  <si>
    <t>Biotechnological conditions of amylase and protease complex production and utilization involving filamentous bacteria</t>
  </si>
  <si>
    <t>ANNALS OF THE UNIVERSITY DUNAREA DE JOS OF GALATI, FASCICLE VI-FOOD TECHNOLOGY</t>
  </si>
  <si>
    <t>cold activity of enzymes; Antarctic soil micro biota; filamentous bacteria; Streptomyces species; alpha-amylase; beta-amylase; proteases; submerged fermentation</t>
  </si>
  <si>
    <t>HABITAT; COLD</t>
  </si>
  <si>
    <t>Streptomyces, bacterial filamentous, largely spread into soil micro biota, have a high enzymatic potential, and are able to produce hydrolytic enzymes with natural implications in organic compounds biodegradation and bioremediation. Studies proved the variability of the biosynthesis potential and of the catalytic behaviour of the enzymes from the category of amylase and protease, synthesized by two selected strains of Streptomyces species, taken from local and East Antarctic coast soils. The preliminary researches show that the polar strain Streptomyces 11P features biosynthesis properties and the characteristics of the amylases and proteases synthesized, slightly modified comparing to strain Streptomyces MIUG 4.116, isolated from Romanian soil.</t>
  </si>
  <si>
    <t>[Bahrim, Gabriela Elena; Scantee, Mihaela; Negoita, Teodor] Galati Dunarea Jos Univ, Fac Food Sci &amp; Engn, Bioengn Dept, 47 Domneasca St, Galati 800008, Romania; Romanian Polar Res Inst, Bucharest, Romania</t>
  </si>
  <si>
    <t>Dunarea De Jos University Galati</t>
  </si>
  <si>
    <t>Bahrim, GE (corresponding author), Galati Dunarea Jos Univ, Fac Food Sci &amp; Engn, Bioengn Dept, 47 Domneasca St, Galati 800008, Romania.</t>
  </si>
  <si>
    <t>Gabriela.Bahrim@ugal.ro</t>
  </si>
  <si>
    <t>Bahrim, Gabriela-Elena/ABB-2043-2020</t>
  </si>
  <si>
    <t>Bahrim, Gabriela-Elena/0000-0001-8210-1793</t>
  </si>
  <si>
    <t>BioFood Platform, CNCSIS [62]</t>
  </si>
  <si>
    <t>BioFood Platform, CNCSIS(Consiliul National al Cercetarii Stiintifice (CNCS))</t>
  </si>
  <si>
    <t>Financial support from BioFood Platform, CNCSIS Project Code 62, is highly acknowledged.</t>
  </si>
  <si>
    <t>GALATI UNIV PRESS</t>
  </si>
  <si>
    <t>GALATI</t>
  </si>
  <si>
    <t>47 DOMNEASCA ST, GALATI, 800008, ROMANIA</t>
  </si>
  <si>
    <t>1843-5157</t>
  </si>
  <si>
    <t>2068-259X</t>
  </si>
  <si>
    <t>ANN UNIV DUNAREA JOS</t>
  </si>
  <si>
    <t>Ann. Univ. Dunarea Jos Galati, F. VI-Food Technol.</t>
  </si>
  <si>
    <t>Food Science &amp; Technology</t>
  </si>
  <si>
    <t>V8Z3G</t>
  </si>
  <si>
    <t>WOS:000422103900015</t>
  </si>
  <si>
    <t>Alley, RB</t>
  </si>
  <si>
    <t>Alley, Richard B.</t>
  </si>
  <si>
    <t>Wally was right: Predictive ability of the North Atlantic Conveyor belt hypothesis for abrupt climate change</t>
  </si>
  <si>
    <t>ANNUAL REVIEW OF EARTH AND PLANETARY SCIENCES</t>
  </si>
  <si>
    <t>Annual Review of Earth and Planetary Sciences</t>
  </si>
  <si>
    <t>paleoclimatology; ocean circulation; sea ice; Younger Dryas; meridional overturning circulation</t>
  </si>
  <si>
    <t>GLACIAL LAKE AGASSIZ; GREENLAND ICE-SHEET; ANTARCTIC PHASE-RELATIONS; OCEAN-ATMOSPHERE MODEL; YOUNGER-DRYAS; THERMOHALINE CIRCULATION; LAST DEGLACIATION; CATASTROPHIC DRAINAGE; MELTWATER DISCHARGE; DEEP CIRCULATION</t>
  </si>
  <si>
    <t>Linked, abrupt changes of North Atlantic deep water formation, North Atlantic sea ice extent, and widespread climate occurred repeatedly during the last ice age cycle and beyond in response to changing freshwater fluxes and perhaps other causes. This paradigm, developed and championed especially by WS. Broecker, has repeatedly proven to be successfully predictive as well as explanatory with high confidence. Much work remains to fully understand what happened and to assess possible implications for the future, but the foundations for this work are remarkably solid.</t>
  </si>
  <si>
    <t>Penn State Univ, Dept Geosci, University Pk, PA 16802 USA; Penn State Univ, PSICE, Earth &amp; Environm Syst Inst, University Pk, PA 16802 USA</t>
  </si>
  <si>
    <t>Office of Polar Programs (OPP); Directorate For Geosciences [0917509] Funding Source: National Science Foundation</t>
  </si>
  <si>
    <t>ANNUAL REVIEWS</t>
  </si>
  <si>
    <t>PALO ALTO</t>
  </si>
  <si>
    <t>4139 EL CAMINO WAY, PO BOX 10139, PALO ALTO, CA 94303-0139 USA</t>
  </si>
  <si>
    <t>0084-6597</t>
  </si>
  <si>
    <t>ANNU REV EARTH PL SC</t>
  </si>
  <si>
    <t>Annu. Rev. Earth Planet. Sci.</t>
  </si>
  <si>
    <t>10.1146/annurev.earth.35.081006.131524</t>
  </si>
  <si>
    <t>Astronomy &amp; Astrophysics; Geosciences, Multidisciplinary</t>
  </si>
  <si>
    <t>Astronomy &amp; Astrophysics; Geology</t>
  </si>
  <si>
    <t>175KM</t>
  </si>
  <si>
    <t>WOS:000247012500009</t>
  </si>
  <si>
    <t>Aronson, RB; Thatje, S; Clarke, A; Peck, LS; Blake, DB; Wilga, CD; Seibel, BA</t>
  </si>
  <si>
    <t>Aronson, Richard B.; Thatje, Sven; Clarke, Andrew; Peck, Lloyd S.; Blake, Daniel B.; Wilga, Cheryl D.; Seibel, Brad A.</t>
  </si>
  <si>
    <t>Climate change and invasibility of the antarctic benthos</t>
  </si>
  <si>
    <t>ANNUAL REVIEW OF ECOLOGY EVOLUTION AND SYSTEMATICS</t>
  </si>
  <si>
    <t>Annual Review of Ecology Evolution and Systematics</t>
  </si>
  <si>
    <t>climate change; Decapoda; invasive species; physiology; polar; predation</t>
  </si>
  <si>
    <t>SOUTHERN-OCEAN; ADAPTIVE RADIATION; LITHODES-SANTOLLA; BEAGLE CHANNEL; TRADE-OFFS; ICE-SHEET; EVOLUTION; EOCENE; TEMPERATURE; CRUSTACEA</t>
  </si>
  <si>
    <t>Benthic communities living in shallow-shelf habitats in Antarctica (&lt;100-m depth) are archaic in structure and function compared to shallow-water communities elsewhere. Modern predators, including fast-moving, durophagous (skeleton-crushing) bony fish, sharks, and crabs, are rare or absent; slow-moving invertebrates are generally the top predators; and epifaunal suspension feeders dominate many soft-substratum communities. Cooling temperatures beginning in the late Eocene excluded durophagous predators, ultimately resulting in the endemic living fauna and its unique food-web structure. Although the Southern Ocean is oceanographically isolated, the barriers to biological invasion are primarily physiological rather than geographic. Cold temperatures impose limits to performance that exclude modern predators. Global warming is now removing those physiological barriers, and crabs are reinvading Antarctica. As sea temperatures continue to rise, the invasion of durophagous predators will modernize the shelf benthos and erode the indigenous character of marine life in Antarctica.</t>
  </si>
  <si>
    <t>[Aronson, Richard B.] Dauphin Isl Sea Lab, Dauphin Isl, AL 36528 USA; [Thatje, Sven] Univ Southampton, Sch Ocean &amp; Earth Sci, Natl Oceanog Ctr, Southampton SO14 3ZH, Hants, England; [Clarke, Andrew; Peck, Lloyd S.] British Antarctic Survey, NERC, Cambridge CB3 0ET, England; [Blake, Daniel B.] Univ Illinois, Dept Geol, Urbana, IL 61801 USA; [Wilga, Cheryl D.; Seibel, Brad A.] Univ Rhode Isl, Dept Biol Sci, Kingston, RI 02881 USA</t>
  </si>
  <si>
    <t>Dauphin Island Sea Lab; University of Southampton; NERC National Oceanography Centre; UK Research &amp; Innovation (UKRI); Natural Environment Research Council (NERC); NERC British Antarctic Survey; University of Illinois System; University of Illinois Urbana-Champaign; University of Rhode Island</t>
  </si>
  <si>
    <t>Aronson, RB (corresponding author), Dauphin Isl Sea Lab, Dauphin Isl, AL 36528 USA.</t>
  </si>
  <si>
    <t>raronson@disl.org; svth@noc.soton.ac.uk; andrew.clarke@bas.c.uk; l.peck@bas.ac.uk; dblake@uiuc.edu; cwilga@uri.edu; seibel@uri.edu</t>
  </si>
  <si>
    <t>Aronson, Richard/0000-0003-0383-3844</t>
  </si>
  <si>
    <t>1543-592X</t>
  </si>
  <si>
    <t>1545-2069</t>
  </si>
  <si>
    <t>ANNU REV ECOL EVOL S</t>
  </si>
  <si>
    <t>Annu. Rev. Ecol. Evol. Syst.</t>
  </si>
  <si>
    <t>10.1146/annurev.ecolsys.38.091206.095525</t>
  </si>
  <si>
    <t>251GF</t>
  </si>
  <si>
    <t>WOS:000252359800006</t>
  </si>
  <si>
    <t>Doney, SC; Schimel, DS</t>
  </si>
  <si>
    <t>Doney, Scott C.; Schimel, David S.</t>
  </si>
  <si>
    <t>Carbon and climate system coupling on timescales from the Precambrian to the anthropocene</t>
  </si>
  <si>
    <t>ANNUAL REVIEW OF ENVIRONMENT AND RESOURCES</t>
  </si>
  <si>
    <t>Annual Review of Environment and Resources</t>
  </si>
  <si>
    <t>biogeochemistry; carbon cycle; carbon dioxide; geological timescale; global warming</t>
  </si>
  <si>
    <t>LAST GLACIAL MAXIMUM; ATMOSPHERIC CO2 CONCENTRATIONS; SEA-SURFACE TEMPERATURE; ICE-CORE RECORD; SOUTHERN-OCEAN; NORTH-ATLANTIC; GLOBAL CARBON; INTERANNUAL VARIABILITY; ANTARCTIC ICE; GAS HYDRATE</t>
  </si>
  <si>
    <t>Over a range of geological and historical timescales, warmer climate conditions are associated with higher atmospheric levels of CO2, an important climate-modulating greenhouse gas. Coupled carbonclimate interactions have the potential to introduce both stabilizing and destabilizing feedback loops into Earth's system. Here we bring together evidence on the dominant climate, biogeochemical and geological processes organized by timescale, spanning interannual to centennial climate variability, Holocene millennial variations and Pleistocene glacial-interglacial cycles, and million-year and longer variations over the Precambrian and Phanerozoic. Our focus is on characterizing, and where possible quantifying, internal coupled carbon-climate system dynamics and responses to external forcing from tectonics, orbital dynamics, catastrophic events, and anthropogenic fossil-fuel emissions. One emergent property is clear across timescales: atmospheric CO2 can increase quickly, but the return to lower levels through natural processes is much slower. The consequences of human carbon cycle perturbations will far outlive the emissions that caused them.</t>
  </si>
  <si>
    <t>Woods Hole Oceanog Inst, Woods Hole, MA 02543 USA; Natl Ctr Atmospher Res, Boulder, CO 80307 USA</t>
  </si>
  <si>
    <t>Woods Hole Oceanographic Institution; National Center Atmospheric Research (NCAR) - USA</t>
  </si>
  <si>
    <t>Doney, SC (corresponding author), Woods Hole Oceanog Inst, Woods Hole, MA 02543 USA.</t>
  </si>
  <si>
    <t>sdoney@whoi.edu; schimel@ucar.edu</t>
  </si>
  <si>
    <t>Doney, Scott/0000-0002-3683-2437</t>
  </si>
  <si>
    <t>1543-5938</t>
  </si>
  <si>
    <t>ANNU REV ENV RESOUR</t>
  </si>
  <si>
    <t>Annu. Rev. Environ. Resour.</t>
  </si>
  <si>
    <t>10.1146/annurev.energy.32.041706.124700</t>
  </si>
  <si>
    <t>Environmental Sciences; Environmental Studies</t>
  </si>
  <si>
    <t>Book Citation Index – Social Sciences &amp; Humanities (BKCI-SSH); Book Citation Index – Science (BKCI-S); Science Citation Index Expanded (SCI-EXPANDED); Social Science Citation Index (SSCI)</t>
  </si>
  <si>
    <t>236CJ</t>
  </si>
  <si>
    <t>WOS:000251280300003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</si>
</sst>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74</v>
      </c>
      <c r="AD2" t="s">
        <v>74</v>
      </c>
      <c r="AE2" t="s">
        <v>74</v>
      </c>
      <c r="AF2" t="s">
        <v>74</v>
      </c>
      <c r="AG2">
        <v>33</v>
      </c>
      <c r="AH2">
        <v>16</v>
      </c>
      <c r="AI2">
        <v>17</v>
      </c>
      <c r="AJ2">
        <v>1</v>
      </c>
      <c r="AK2">
        <v>14</v>
      </c>
      <c r="AL2" t="s">
        <v>89</v>
      </c>
      <c r="AM2" t="s">
        <v>90</v>
      </c>
      <c r="AN2" t="s">
        <v>91</v>
      </c>
      <c r="AO2" t="s">
        <v>92</v>
      </c>
      <c r="AP2" t="s">
        <v>93</v>
      </c>
      <c r="AQ2" t="s">
        <v>74</v>
      </c>
      <c r="AR2" t="s">
        <v>94</v>
      </c>
      <c r="AS2" t="s">
        <v>95</v>
      </c>
      <c r="AT2" t="s">
        <v>96</v>
      </c>
      <c r="AU2">
        <v>2007</v>
      </c>
      <c r="AV2">
        <v>80</v>
      </c>
      <c r="AW2">
        <v>3</v>
      </c>
      <c r="AX2" t="s">
        <v>74</v>
      </c>
      <c r="AY2" t="s">
        <v>74</v>
      </c>
      <c r="AZ2" t="s">
        <v>74</v>
      </c>
      <c r="BA2" t="s">
        <v>74</v>
      </c>
      <c r="BB2">
        <v>335</v>
      </c>
      <c r="BC2">
        <v>343</v>
      </c>
      <c r="BD2" t="s">
        <v>74</v>
      </c>
      <c r="BE2" t="s">
        <v>74</v>
      </c>
      <c r="BF2" t="s">
        <v>74</v>
      </c>
      <c r="BG2" t="s">
        <v>74</v>
      </c>
      <c r="BH2" t="s">
        <v>74</v>
      </c>
      <c r="BI2">
        <v>9</v>
      </c>
      <c r="BJ2" t="s">
        <v>97</v>
      </c>
      <c r="BK2" t="s">
        <v>98</v>
      </c>
      <c r="BL2" t="s">
        <v>99</v>
      </c>
      <c r="BM2" t="s">
        <v>100</v>
      </c>
      <c r="BN2" t="s">
        <v>74</v>
      </c>
      <c r="BO2" t="s">
        <v>74</v>
      </c>
      <c r="BP2" t="s">
        <v>74</v>
      </c>
      <c r="BQ2" t="s">
        <v>74</v>
      </c>
      <c r="BR2" t="s">
        <v>101</v>
      </c>
      <c r="BS2" t="s">
        <v>102</v>
      </c>
      <c r="BT2" t="str">
        <f>HYPERLINK("https%3A%2F%2Fwww.webofscience.com%2Fwos%2Fwoscc%2Ffull-record%2FWOS:000249505700007","View Full Record in Web of Science")</f>
        <v>View Full Record in Web of Science</v>
      </c>
    </row>
    <row r="3" spans="1:72" x14ac:dyDescent="0.15">
      <c r="A3" t="s">
        <v>72</v>
      </c>
      <c r="B3" t="s">
        <v>103</v>
      </c>
      <c r="C3" t="s">
        <v>74</v>
      </c>
      <c r="D3" t="s">
        <v>74</v>
      </c>
      <c r="E3" t="s">
        <v>74</v>
      </c>
      <c r="F3" t="s">
        <v>104</v>
      </c>
      <c r="G3" t="s">
        <v>74</v>
      </c>
      <c r="H3" t="s">
        <v>74</v>
      </c>
      <c r="I3" t="s">
        <v>105</v>
      </c>
      <c r="J3" t="s">
        <v>106</v>
      </c>
      <c r="K3" t="s">
        <v>74</v>
      </c>
      <c r="L3" t="s">
        <v>74</v>
      </c>
      <c r="M3" t="s">
        <v>107</v>
      </c>
      <c r="N3" t="s">
        <v>79</v>
      </c>
      <c r="O3" t="s">
        <v>74</v>
      </c>
      <c r="P3" t="s">
        <v>74</v>
      </c>
      <c r="Q3" t="s">
        <v>74</v>
      </c>
      <c r="R3" t="s">
        <v>74</v>
      </c>
      <c r="S3" t="s">
        <v>74</v>
      </c>
      <c r="T3" t="s">
        <v>108</v>
      </c>
      <c r="U3" t="s">
        <v>109</v>
      </c>
      <c r="V3" t="s">
        <v>110</v>
      </c>
      <c r="W3" t="s">
        <v>111</v>
      </c>
      <c r="X3" t="s">
        <v>112</v>
      </c>
      <c r="Y3" t="s">
        <v>113</v>
      </c>
      <c r="Z3" t="s">
        <v>74</v>
      </c>
      <c r="AA3" t="s">
        <v>74</v>
      </c>
      <c r="AB3" t="s">
        <v>114</v>
      </c>
      <c r="AC3" t="s">
        <v>74</v>
      </c>
      <c r="AD3" t="s">
        <v>74</v>
      </c>
      <c r="AE3" t="s">
        <v>74</v>
      </c>
      <c r="AF3" t="s">
        <v>74</v>
      </c>
      <c r="AG3">
        <v>38</v>
      </c>
      <c r="AH3">
        <v>6</v>
      </c>
      <c r="AI3">
        <v>7</v>
      </c>
      <c r="AJ3">
        <v>9</v>
      </c>
      <c r="AK3">
        <v>21</v>
      </c>
      <c r="AL3" t="s">
        <v>115</v>
      </c>
      <c r="AM3" t="s">
        <v>116</v>
      </c>
      <c r="AN3" t="s">
        <v>117</v>
      </c>
      <c r="AO3" t="s">
        <v>118</v>
      </c>
      <c r="AP3" t="s">
        <v>119</v>
      </c>
      <c r="AQ3" t="s">
        <v>74</v>
      </c>
      <c r="AR3" t="s">
        <v>120</v>
      </c>
      <c r="AS3" t="s">
        <v>121</v>
      </c>
      <c r="AT3" t="s">
        <v>122</v>
      </c>
      <c r="AU3">
        <v>2007</v>
      </c>
      <c r="AV3">
        <v>43</v>
      </c>
      <c r="AW3">
        <v>5</v>
      </c>
      <c r="AX3" t="s">
        <v>74</v>
      </c>
      <c r="AY3" t="s">
        <v>74</v>
      </c>
      <c r="AZ3" t="s">
        <v>74</v>
      </c>
      <c r="BA3" t="s">
        <v>74</v>
      </c>
      <c r="BB3">
        <v>370</v>
      </c>
      <c r="BC3">
        <v>383</v>
      </c>
      <c r="BD3" t="s">
        <v>74</v>
      </c>
      <c r="BE3" t="s">
        <v>74</v>
      </c>
      <c r="BF3" t="s">
        <v>74</v>
      </c>
      <c r="BG3" t="s">
        <v>74</v>
      </c>
      <c r="BH3" t="s">
        <v>74</v>
      </c>
      <c r="BI3">
        <v>14</v>
      </c>
      <c r="BJ3" t="s">
        <v>123</v>
      </c>
      <c r="BK3" t="s">
        <v>98</v>
      </c>
      <c r="BL3" t="s">
        <v>123</v>
      </c>
      <c r="BM3" t="s">
        <v>124</v>
      </c>
      <c r="BN3" t="s">
        <v>74</v>
      </c>
      <c r="BO3" t="s">
        <v>125</v>
      </c>
      <c r="BP3" t="s">
        <v>74</v>
      </c>
      <c r="BQ3" t="s">
        <v>74</v>
      </c>
      <c r="BR3" t="s">
        <v>101</v>
      </c>
      <c r="BS3" t="s">
        <v>126</v>
      </c>
      <c r="BT3" t="str">
        <f>HYPERLINK("https%3A%2F%2Fwww.webofscience.com%2Fwos%2Fwoscc%2Ffull-record%2FWOS:000251922100005","View Full Record in Web of Science")</f>
        <v>View Full Record in Web of Science</v>
      </c>
    </row>
    <row r="4" spans="1:72" x14ac:dyDescent="0.15">
      <c r="A4" t="s">
        <v>72</v>
      </c>
      <c r="B4" t="s">
        <v>127</v>
      </c>
      <c r="C4" t="s">
        <v>74</v>
      </c>
      <c r="D4" t="s">
        <v>74</v>
      </c>
      <c r="E4" t="s">
        <v>74</v>
      </c>
      <c r="F4" t="s">
        <v>128</v>
      </c>
      <c r="G4" t="s">
        <v>74</v>
      </c>
      <c r="H4" t="s">
        <v>74</v>
      </c>
      <c r="I4" t="s">
        <v>129</v>
      </c>
      <c r="J4" t="s">
        <v>130</v>
      </c>
      <c r="K4" t="s">
        <v>74</v>
      </c>
      <c r="L4" t="s">
        <v>74</v>
      </c>
      <c r="M4" t="s">
        <v>78</v>
      </c>
      <c r="N4" t="s">
        <v>79</v>
      </c>
      <c r="O4" t="s">
        <v>74</v>
      </c>
      <c r="P4" t="s">
        <v>74</v>
      </c>
      <c r="Q4" t="s">
        <v>74</v>
      </c>
      <c r="R4" t="s">
        <v>74</v>
      </c>
      <c r="S4" t="s">
        <v>74</v>
      </c>
      <c r="T4" t="s">
        <v>74</v>
      </c>
      <c r="U4" t="s">
        <v>131</v>
      </c>
      <c r="V4" t="s">
        <v>132</v>
      </c>
      <c r="W4" t="s">
        <v>133</v>
      </c>
      <c r="X4" t="s">
        <v>134</v>
      </c>
      <c r="Y4" t="s">
        <v>135</v>
      </c>
      <c r="Z4" t="s">
        <v>136</v>
      </c>
      <c r="AA4" t="s">
        <v>137</v>
      </c>
      <c r="AB4" t="s">
        <v>138</v>
      </c>
      <c r="AC4" t="s">
        <v>139</v>
      </c>
      <c r="AD4" t="s">
        <v>140</v>
      </c>
      <c r="AE4" t="s">
        <v>74</v>
      </c>
      <c r="AF4" t="s">
        <v>74</v>
      </c>
      <c r="AG4">
        <v>8</v>
      </c>
      <c r="AH4">
        <v>27</v>
      </c>
      <c r="AI4">
        <v>29</v>
      </c>
      <c r="AJ4">
        <v>1</v>
      </c>
      <c r="AK4">
        <v>28</v>
      </c>
      <c r="AL4" t="s">
        <v>141</v>
      </c>
      <c r="AM4" t="s">
        <v>142</v>
      </c>
      <c r="AN4" t="s">
        <v>143</v>
      </c>
      <c r="AO4" t="s">
        <v>144</v>
      </c>
      <c r="AP4" t="s">
        <v>145</v>
      </c>
      <c r="AQ4" t="s">
        <v>74</v>
      </c>
      <c r="AR4" t="s">
        <v>146</v>
      </c>
      <c r="AS4" t="s">
        <v>147</v>
      </c>
      <c r="AT4" t="s">
        <v>148</v>
      </c>
      <c r="AU4">
        <v>2007</v>
      </c>
      <c r="AV4">
        <v>34</v>
      </c>
      <c r="AW4">
        <v>16</v>
      </c>
      <c r="AX4" t="s">
        <v>74</v>
      </c>
      <c r="AY4" t="s">
        <v>74</v>
      </c>
      <c r="AZ4" t="s">
        <v>74</v>
      </c>
      <c r="BA4" t="s">
        <v>74</v>
      </c>
      <c r="BB4" t="s">
        <v>74</v>
      </c>
      <c r="BC4" t="s">
        <v>74</v>
      </c>
      <c r="BD4" t="s">
        <v>149</v>
      </c>
      <c r="BE4" t="s">
        <v>150</v>
      </c>
      <c r="BF4" t="str">
        <f>HYPERLINK("http://dx.doi.org/10.1029/2007GL030784","http://dx.doi.org/10.1029/2007GL030784")</f>
        <v>http://dx.doi.org/10.1029/2007GL030784</v>
      </c>
      <c r="BG4" t="s">
        <v>74</v>
      </c>
      <c r="BH4" t="s">
        <v>74</v>
      </c>
      <c r="BI4">
        <v>5</v>
      </c>
      <c r="BJ4" t="s">
        <v>151</v>
      </c>
      <c r="BK4" t="s">
        <v>98</v>
      </c>
      <c r="BL4" t="s">
        <v>152</v>
      </c>
      <c r="BM4" t="s">
        <v>153</v>
      </c>
      <c r="BN4" t="s">
        <v>74</v>
      </c>
      <c r="BO4" t="s">
        <v>154</v>
      </c>
      <c r="BP4" t="s">
        <v>74</v>
      </c>
      <c r="BQ4" t="s">
        <v>74</v>
      </c>
      <c r="BR4" t="s">
        <v>101</v>
      </c>
      <c r="BS4" t="s">
        <v>155</v>
      </c>
      <c r="BT4" t="str">
        <f>HYPERLINK("https%3A%2F%2Fwww.webofscience.com%2Fwos%2Fwoscc%2Ffull-record%2FWOS:000249334700005","View Full Record in Web of Science")</f>
        <v>View Full Record in Web of Science</v>
      </c>
    </row>
    <row r="5" spans="1:72" x14ac:dyDescent="0.15">
      <c r="A5" t="s">
        <v>72</v>
      </c>
      <c r="B5" t="s">
        <v>156</v>
      </c>
      <c r="C5" t="s">
        <v>74</v>
      </c>
      <c r="D5" t="s">
        <v>74</v>
      </c>
      <c r="E5" t="s">
        <v>74</v>
      </c>
      <c r="F5" t="s">
        <v>157</v>
      </c>
      <c r="G5" t="s">
        <v>74</v>
      </c>
      <c r="H5" t="s">
        <v>74</v>
      </c>
      <c r="I5" t="s">
        <v>158</v>
      </c>
      <c r="J5" t="s">
        <v>159</v>
      </c>
      <c r="K5" t="s">
        <v>74</v>
      </c>
      <c r="L5" t="s">
        <v>74</v>
      </c>
      <c r="M5" t="s">
        <v>78</v>
      </c>
      <c r="N5" t="s">
        <v>79</v>
      </c>
      <c r="O5" t="s">
        <v>74</v>
      </c>
      <c r="P5" t="s">
        <v>74</v>
      </c>
      <c r="Q5" t="s">
        <v>74</v>
      </c>
      <c r="R5" t="s">
        <v>74</v>
      </c>
      <c r="S5" t="s">
        <v>74</v>
      </c>
      <c r="T5" t="s">
        <v>74</v>
      </c>
      <c r="U5" t="s">
        <v>160</v>
      </c>
      <c r="V5" t="s">
        <v>161</v>
      </c>
      <c r="W5" t="s">
        <v>162</v>
      </c>
      <c r="X5" t="s">
        <v>163</v>
      </c>
      <c r="Y5" t="s">
        <v>164</v>
      </c>
      <c r="Z5" t="s">
        <v>74</v>
      </c>
      <c r="AA5" t="s">
        <v>165</v>
      </c>
      <c r="AB5" t="s">
        <v>166</v>
      </c>
      <c r="AC5" t="s">
        <v>167</v>
      </c>
      <c r="AD5" t="s">
        <v>140</v>
      </c>
      <c r="AE5" t="s">
        <v>74</v>
      </c>
      <c r="AF5" t="s">
        <v>74</v>
      </c>
      <c r="AG5">
        <v>63</v>
      </c>
      <c r="AH5">
        <v>239</v>
      </c>
      <c r="AI5">
        <v>254</v>
      </c>
      <c r="AJ5">
        <v>2</v>
      </c>
      <c r="AK5">
        <v>10</v>
      </c>
      <c r="AL5" t="s">
        <v>141</v>
      </c>
      <c r="AM5" t="s">
        <v>142</v>
      </c>
      <c r="AN5" t="s">
        <v>143</v>
      </c>
      <c r="AO5" t="s">
        <v>168</v>
      </c>
      <c r="AP5" t="s">
        <v>169</v>
      </c>
      <c r="AQ5" t="s">
        <v>74</v>
      </c>
      <c r="AR5" t="s">
        <v>170</v>
      </c>
      <c r="AS5" t="s">
        <v>171</v>
      </c>
      <c r="AT5" t="s">
        <v>148</v>
      </c>
      <c r="AU5">
        <v>2007</v>
      </c>
      <c r="AV5">
        <v>112</v>
      </c>
      <c r="AW5" t="s">
        <v>172</v>
      </c>
      <c r="AX5" t="s">
        <v>74</v>
      </c>
      <c r="AY5" t="s">
        <v>74</v>
      </c>
      <c r="AZ5" t="s">
        <v>74</v>
      </c>
      <c r="BA5" t="s">
        <v>74</v>
      </c>
      <c r="BB5" t="s">
        <v>74</v>
      </c>
      <c r="BC5" t="s">
        <v>74</v>
      </c>
      <c r="BD5" t="s">
        <v>173</v>
      </c>
      <c r="BE5" t="s">
        <v>174</v>
      </c>
      <c r="BF5" t="str">
        <f>HYPERLINK("http://dx.doi.org/10.1029/2007JA012413","http://dx.doi.org/10.1029/2007JA012413")</f>
        <v>http://dx.doi.org/10.1029/2007JA012413</v>
      </c>
      <c r="BG5" t="s">
        <v>74</v>
      </c>
      <c r="BH5" t="s">
        <v>74</v>
      </c>
      <c r="BI5">
        <v>12</v>
      </c>
      <c r="BJ5" t="s">
        <v>175</v>
      </c>
      <c r="BK5" t="s">
        <v>98</v>
      </c>
      <c r="BL5" t="s">
        <v>175</v>
      </c>
      <c r="BM5" t="s">
        <v>176</v>
      </c>
      <c r="BN5" t="s">
        <v>74</v>
      </c>
      <c r="BO5" t="s">
        <v>177</v>
      </c>
      <c r="BP5" t="s">
        <v>74</v>
      </c>
      <c r="BQ5" t="s">
        <v>74</v>
      </c>
      <c r="BR5" t="s">
        <v>101</v>
      </c>
      <c r="BS5" t="s">
        <v>178</v>
      </c>
      <c r="BT5" t="str">
        <f>HYPERLINK("https%3A%2F%2Fwww.webofscience.com%2Fwos%2Fwoscc%2Ffull-record%2FWOS:000249339100003","View Full Record in Web of Science")</f>
        <v>View Full Record in Web of Science</v>
      </c>
    </row>
    <row r="6" spans="1:72" x14ac:dyDescent="0.15">
      <c r="A6" t="s">
        <v>72</v>
      </c>
      <c r="B6" t="s">
        <v>179</v>
      </c>
      <c r="C6" t="s">
        <v>74</v>
      </c>
      <c r="D6" t="s">
        <v>74</v>
      </c>
      <c r="E6" t="s">
        <v>74</v>
      </c>
      <c r="F6" t="s">
        <v>180</v>
      </c>
      <c r="G6" t="s">
        <v>74</v>
      </c>
      <c r="H6" t="s">
        <v>74</v>
      </c>
      <c r="I6" t="s">
        <v>181</v>
      </c>
      <c r="J6" t="s">
        <v>182</v>
      </c>
      <c r="K6" t="s">
        <v>74</v>
      </c>
      <c r="L6" t="s">
        <v>74</v>
      </c>
      <c r="M6" t="s">
        <v>78</v>
      </c>
      <c r="N6" t="s">
        <v>79</v>
      </c>
      <c r="O6" t="s">
        <v>74</v>
      </c>
      <c r="P6" t="s">
        <v>74</v>
      </c>
      <c r="Q6" t="s">
        <v>74</v>
      </c>
      <c r="R6" t="s">
        <v>74</v>
      </c>
      <c r="S6" t="s">
        <v>74</v>
      </c>
      <c r="T6" t="s">
        <v>74</v>
      </c>
      <c r="U6" t="s">
        <v>183</v>
      </c>
      <c r="V6" t="s">
        <v>184</v>
      </c>
      <c r="W6" t="s">
        <v>185</v>
      </c>
      <c r="X6" t="s">
        <v>186</v>
      </c>
      <c r="Y6" t="s">
        <v>187</v>
      </c>
      <c r="Z6" t="s">
        <v>188</v>
      </c>
      <c r="AA6" t="s">
        <v>74</v>
      </c>
      <c r="AB6" t="s">
        <v>74</v>
      </c>
      <c r="AC6" t="s">
        <v>74</v>
      </c>
      <c r="AD6" t="s">
        <v>74</v>
      </c>
      <c r="AE6" t="s">
        <v>74</v>
      </c>
      <c r="AF6" t="s">
        <v>74</v>
      </c>
      <c r="AG6">
        <v>54</v>
      </c>
      <c r="AH6">
        <v>66</v>
      </c>
      <c r="AI6">
        <v>73</v>
      </c>
      <c r="AJ6">
        <v>2</v>
      </c>
      <c r="AK6">
        <v>21</v>
      </c>
      <c r="AL6" t="s">
        <v>141</v>
      </c>
      <c r="AM6" t="s">
        <v>142</v>
      </c>
      <c r="AN6" t="s">
        <v>143</v>
      </c>
      <c r="AO6" t="s">
        <v>189</v>
      </c>
      <c r="AP6" t="s">
        <v>74</v>
      </c>
      <c r="AQ6" t="s">
        <v>74</v>
      </c>
      <c r="AR6" t="s">
        <v>190</v>
      </c>
      <c r="AS6" t="s">
        <v>191</v>
      </c>
      <c r="AT6" t="s">
        <v>192</v>
      </c>
      <c r="AU6">
        <v>2007</v>
      </c>
      <c r="AV6">
        <v>21</v>
      </c>
      <c r="AW6">
        <v>3</v>
      </c>
      <c r="AX6" t="s">
        <v>74</v>
      </c>
      <c r="AY6" t="s">
        <v>74</v>
      </c>
      <c r="AZ6" t="s">
        <v>74</v>
      </c>
      <c r="BA6" t="s">
        <v>74</v>
      </c>
      <c r="BB6" t="s">
        <v>74</v>
      </c>
      <c r="BC6" t="s">
        <v>74</v>
      </c>
      <c r="BD6" t="s">
        <v>193</v>
      </c>
      <c r="BE6" t="s">
        <v>194</v>
      </c>
      <c r="BF6" t="str">
        <f>HYPERLINK("http://dx.doi.org/10.1029/2006GB002746","http://dx.doi.org/10.1029/2006GB002746")</f>
        <v>http://dx.doi.org/10.1029/2006GB002746</v>
      </c>
      <c r="BG6" t="s">
        <v>74</v>
      </c>
      <c r="BH6" t="s">
        <v>74</v>
      </c>
      <c r="BI6">
        <v>13</v>
      </c>
      <c r="BJ6" t="s">
        <v>195</v>
      </c>
      <c r="BK6" t="s">
        <v>98</v>
      </c>
      <c r="BL6" t="s">
        <v>196</v>
      </c>
      <c r="BM6" t="s">
        <v>197</v>
      </c>
      <c r="BN6" t="s">
        <v>74</v>
      </c>
      <c r="BO6" t="s">
        <v>198</v>
      </c>
      <c r="BP6" t="s">
        <v>74</v>
      </c>
      <c r="BQ6" t="s">
        <v>74</v>
      </c>
      <c r="BR6" t="s">
        <v>101</v>
      </c>
      <c r="BS6" t="s">
        <v>199</v>
      </c>
      <c r="BT6" t="str">
        <f>HYPERLINK("https%3A%2F%2Fwww.webofscience.com%2Fwos%2Fwoscc%2Ffull-record%2FWOS:000249335000001","View Full Record in Web of Science")</f>
        <v>View Full Record in Web of Science</v>
      </c>
    </row>
    <row r="7" spans="1:72" x14ac:dyDescent="0.15">
      <c r="A7" t="s">
        <v>72</v>
      </c>
      <c r="B7" t="s">
        <v>200</v>
      </c>
      <c r="C7" t="s">
        <v>74</v>
      </c>
      <c r="D7" t="s">
        <v>74</v>
      </c>
      <c r="E7" t="s">
        <v>74</v>
      </c>
      <c r="F7" t="s">
        <v>201</v>
      </c>
      <c r="G7" t="s">
        <v>74</v>
      </c>
      <c r="H7" t="s">
        <v>74</v>
      </c>
      <c r="I7" t="s">
        <v>202</v>
      </c>
      <c r="J7" t="s">
        <v>203</v>
      </c>
      <c r="K7" t="s">
        <v>74</v>
      </c>
      <c r="L7" t="s">
        <v>74</v>
      </c>
      <c r="M7" t="s">
        <v>78</v>
      </c>
      <c r="N7" t="s">
        <v>79</v>
      </c>
      <c r="O7" t="s">
        <v>74</v>
      </c>
      <c r="P7" t="s">
        <v>74</v>
      </c>
      <c r="Q7" t="s">
        <v>74</v>
      </c>
      <c r="R7" t="s">
        <v>74</v>
      </c>
      <c r="S7" t="s">
        <v>74</v>
      </c>
      <c r="T7" t="s">
        <v>74</v>
      </c>
      <c r="U7" t="s">
        <v>204</v>
      </c>
      <c r="V7" t="s">
        <v>205</v>
      </c>
      <c r="W7" t="s">
        <v>206</v>
      </c>
      <c r="X7" t="s">
        <v>207</v>
      </c>
      <c r="Y7" t="s">
        <v>208</v>
      </c>
      <c r="Z7" t="s">
        <v>209</v>
      </c>
      <c r="AA7" t="s">
        <v>210</v>
      </c>
      <c r="AB7" t="s">
        <v>211</v>
      </c>
      <c r="AC7" t="s">
        <v>212</v>
      </c>
      <c r="AD7" t="s">
        <v>140</v>
      </c>
      <c r="AE7" t="s">
        <v>74</v>
      </c>
      <c r="AF7" t="s">
        <v>74</v>
      </c>
      <c r="AG7">
        <v>25</v>
      </c>
      <c r="AH7">
        <v>44</v>
      </c>
      <c r="AI7">
        <v>53</v>
      </c>
      <c r="AJ7">
        <v>0</v>
      </c>
      <c r="AK7">
        <v>15</v>
      </c>
      <c r="AL7" t="s">
        <v>141</v>
      </c>
      <c r="AM7" t="s">
        <v>142</v>
      </c>
      <c r="AN7" t="s">
        <v>143</v>
      </c>
      <c r="AO7" t="s">
        <v>213</v>
      </c>
      <c r="AP7" t="s">
        <v>214</v>
      </c>
      <c r="AQ7" t="s">
        <v>74</v>
      </c>
      <c r="AR7" t="s">
        <v>215</v>
      </c>
      <c r="AS7" t="s">
        <v>216</v>
      </c>
      <c r="AT7" t="s">
        <v>217</v>
      </c>
      <c r="AU7">
        <v>2007</v>
      </c>
      <c r="AV7">
        <v>112</v>
      </c>
      <c r="AW7" t="s">
        <v>218</v>
      </c>
      <c r="AX7" t="s">
        <v>74</v>
      </c>
      <c r="AY7" t="s">
        <v>74</v>
      </c>
      <c r="AZ7" t="s">
        <v>74</v>
      </c>
      <c r="BA7" t="s">
        <v>74</v>
      </c>
      <c r="BB7" t="s">
        <v>74</v>
      </c>
      <c r="BC7" t="s">
        <v>74</v>
      </c>
      <c r="BD7" t="s">
        <v>219</v>
      </c>
      <c r="BE7" t="s">
        <v>220</v>
      </c>
      <c r="BF7" t="str">
        <f>HYPERLINK("http://dx.doi.org/10.1029/2006JC003836","http://dx.doi.org/10.1029/2006JC003836")</f>
        <v>http://dx.doi.org/10.1029/2006JC003836</v>
      </c>
      <c r="BG7" t="s">
        <v>74</v>
      </c>
      <c r="BH7" t="s">
        <v>74</v>
      </c>
      <c r="BI7">
        <v>14</v>
      </c>
      <c r="BJ7" t="s">
        <v>221</v>
      </c>
      <c r="BK7" t="s">
        <v>98</v>
      </c>
      <c r="BL7" t="s">
        <v>221</v>
      </c>
      <c r="BM7" t="s">
        <v>222</v>
      </c>
      <c r="BN7" t="s">
        <v>74</v>
      </c>
      <c r="BO7" t="s">
        <v>223</v>
      </c>
      <c r="BP7" t="s">
        <v>74</v>
      </c>
      <c r="BQ7" t="s">
        <v>74</v>
      </c>
      <c r="BR7" t="s">
        <v>101</v>
      </c>
      <c r="BS7" t="s">
        <v>224</v>
      </c>
      <c r="BT7" t="str">
        <f>HYPERLINK("https%3A%2F%2Fwww.webofscience.com%2Fwos%2Fwoscc%2Ffull-record%2FWOS:000249337300001","View Full Record in Web of Science")</f>
        <v>View Full Record in Web of Science</v>
      </c>
    </row>
    <row r="8" spans="1:72" x14ac:dyDescent="0.15">
      <c r="A8" t="s">
        <v>72</v>
      </c>
      <c r="B8" t="s">
        <v>225</v>
      </c>
      <c r="C8" t="s">
        <v>74</v>
      </c>
      <c r="D8" t="s">
        <v>74</v>
      </c>
      <c r="E8" t="s">
        <v>74</v>
      </c>
      <c r="F8" t="s">
        <v>226</v>
      </c>
      <c r="G8" t="s">
        <v>74</v>
      </c>
      <c r="H8" t="s">
        <v>74</v>
      </c>
      <c r="I8" t="s">
        <v>227</v>
      </c>
      <c r="J8" t="s">
        <v>228</v>
      </c>
      <c r="K8" t="s">
        <v>74</v>
      </c>
      <c r="L8" t="s">
        <v>74</v>
      </c>
      <c r="M8" t="s">
        <v>78</v>
      </c>
      <c r="N8" t="s">
        <v>229</v>
      </c>
      <c r="O8" t="s">
        <v>74</v>
      </c>
      <c r="P8" t="s">
        <v>74</v>
      </c>
      <c r="Q8" t="s">
        <v>74</v>
      </c>
      <c r="R8" t="s">
        <v>74</v>
      </c>
      <c r="S8" t="s">
        <v>74</v>
      </c>
      <c r="T8" t="s">
        <v>74</v>
      </c>
      <c r="U8" t="s">
        <v>74</v>
      </c>
      <c r="V8" t="s">
        <v>74</v>
      </c>
      <c r="W8" t="s">
        <v>230</v>
      </c>
      <c r="X8" t="s">
        <v>231</v>
      </c>
      <c r="Y8" t="s">
        <v>232</v>
      </c>
      <c r="Z8" t="s">
        <v>233</v>
      </c>
      <c r="AA8" t="s">
        <v>74</v>
      </c>
      <c r="AB8" t="s">
        <v>74</v>
      </c>
      <c r="AC8" t="s">
        <v>74</v>
      </c>
      <c r="AD8" t="s">
        <v>74</v>
      </c>
      <c r="AE8" t="s">
        <v>74</v>
      </c>
      <c r="AF8" t="s">
        <v>74</v>
      </c>
      <c r="AG8">
        <v>0</v>
      </c>
      <c r="AH8">
        <v>0</v>
      </c>
      <c r="AI8">
        <v>0</v>
      </c>
      <c r="AJ8">
        <v>0</v>
      </c>
      <c r="AK8">
        <v>2</v>
      </c>
      <c r="AL8" t="s">
        <v>234</v>
      </c>
      <c r="AM8" t="s">
        <v>235</v>
      </c>
      <c r="AN8" t="s">
        <v>236</v>
      </c>
      <c r="AO8" t="s">
        <v>237</v>
      </c>
      <c r="AP8" t="s">
        <v>74</v>
      </c>
      <c r="AQ8" t="s">
        <v>74</v>
      </c>
      <c r="AR8" t="s">
        <v>238</v>
      </c>
      <c r="AS8" t="s">
        <v>239</v>
      </c>
      <c r="AT8" t="s">
        <v>240</v>
      </c>
      <c r="AU8">
        <v>2007</v>
      </c>
      <c r="AV8">
        <v>93</v>
      </c>
      <c r="AW8">
        <v>4</v>
      </c>
      <c r="AX8" t="s">
        <v>74</v>
      </c>
      <c r="AY8" t="s">
        <v>74</v>
      </c>
      <c r="AZ8" t="s">
        <v>74</v>
      </c>
      <c r="BA8" t="s">
        <v>74</v>
      </c>
      <c r="BB8">
        <v>449</v>
      </c>
      <c r="BC8">
        <v>449</v>
      </c>
      <c r="BD8" t="s">
        <v>74</v>
      </c>
      <c r="BE8" t="s">
        <v>74</v>
      </c>
      <c r="BF8" t="s">
        <v>74</v>
      </c>
      <c r="BG8" t="s">
        <v>74</v>
      </c>
      <c r="BH8" t="s">
        <v>74</v>
      </c>
      <c r="BI8">
        <v>1</v>
      </c>
      <c r="BJ8" t="s">
        <v>241</v>
      </c>
      <c r="BK8" t="s">
        <v>98</v>
      </c>
      <c r="BL8" t="s">
        <v>242</v>
      </c>
      <c r="BM8" t="s">
        <v>243</v>
      </c>
      <c r="BN8" t="s">
        <v>74</v>
      </c>
      <c r="BO8" t="s">
        <v>74</v>
      </c>
      <c r="BP8" t="s">
        <v>74</v>
      </c>
      <c r="BQ8" t="s">
        <v>74</v>
      </c>
      <c r="BR8" t="s">
        <v>101</v>
      </c>
      <c r="BS8" t="s">
        <v>244</v>
      </c>
      <c r="BT8" t="str">
        <f>HYPERLINK("https%3A%2F%2Fwww.webofscience.com%2Fwos%2Fwoscc%2Ffull-record%2FWOS:000249227100011","View Full Record in Web of Science")</f>
        <v>View Full Record in Web of Science</v>
      </c>
    </row>
    <row r="9" spans="1:72" x14ac:dyDescent="0.15">
      <c r="A9" t="s">
        <v>72</v>
      </c>
      <c r="B9" t="s">
        <v>245</v>
      </c>
      <c r="C9" t="s">
        <v>74</v>
      </c>
      <c r="D9" t="s">
        <v>74</v>
      </c>
      <c r="E9" t="s">
        <v>74</v>
      </c>
      <c r="F9" t="s">
        <v>246</v>
      </c>
      <c r="G9" t="s">
        <v>74</v>
      </c>
      <c r="H9" t="s">
        <v>74</v>
      </c>
      <c r="I9" t="s">
        <v>247</v>
      </c>
      <c r="J9" t="s">
        <v>228</v>
      </c>
      <c r="K9" t="s">
        <v>74</v>
      </c>
      <c r="L9" t="s">
        <v>74</v>
      </c>
      <c r="M9" t="s">
        <v>78</v>
      </c>
      <c r="N9" t="s">
        <v>248</v>
      </c>
      <c r="O9" t="s">
        <v>74</v>
      </c>
      <c r="P9" t="s">
        <v>74</v>
      </c>
      <c r="Q9" t="s">
        <v>74</v>
      </c>
      <c r="R9" t="s">
        <v>74</v>
      </c>
      <c r="S9" t="s">
        <v>74</v>
      </c>
      <c r="T9" t="s">
        <v>249</v>
      </c>
      <c r="U9" t="s">
        <v>250</v>
      </c>
      <c r="V9" t="s">
        <v>251</v>
      </c>
      <c r="W9" t="s">
        <v>74</v>
      </c>
      <c r="X9" t="s">
        <v>74</v>
      </c>
      <c r="Y9" t="s">
        <v>252</v>
      </c>
      <c r="Z9" t="s">
        <v>253</v>
      </c>
      <c r="AA9" t="s">
        <v>254</v>
      </c>
      <c r="AB9" t="s">
        <v>255</v>
      </c>
      <c r="AC9" t="s">
        <v>74</v>
      </c>
      <c r="AD9" t="s">
        <v>74</v>
      </c>
      <c r="AE9" t="s">
        <v>74</v>
      </c>
      <c r="AF9" t="s">
        <v>74</v>
      </c>
      <c r="AG9">
        <v>80</v>
      </c>
      <c r="AH9">
        <v>12</v>
      </c>
      <c r="AI9">
        <v>12</v>
      </c>
      <c r="AJ9">
        <v>0</v>
      </c>
      <c r="AK9">
        <v>5</v>
      </c>
      <c r="AL9" t="s">
        <v>256</v>
      </c>
      <c r="AM9" t="s">
        <v>235</v>
      </c>
      <c r="AN9" t="s">
        <v>257</v>
      </c>
      <c r="AO9" t="s">
        <v>237</v>
      </c>
      <c r="AP9" t="s">
        <v>74</v>
      </c>
      <c r="AQ9" t="s">
        <v>74</v>
      </c>
      <c r="AR9" t="s">
        <v>238</v>
      </c>
      <c r="AS9" t="s">
        <v>239</v>
      </c>
      <c r="AT9" t="s">
        <v>240</v>
      </c>
      <c r="AU9">
        <v>2007</v>
      </c>
      <c r="AV9">
        <v>93</v>
      </c>
      <c r="AW9">
        <v>4</v>
      </c>
      <c r="AX9" t="s">
        <v>74</v>
      </c>
      <c r="AY9" t="s">
        <v>74</v>
      </c>
      <c r="AZ9" t="s">
        <v>74</v>
      </c>
      <c r="BA9" t="s">
        <v>74</v>
      </c>
      <c r="BB9">
        <v>477</v>
      </c>
      <c r="BC9">
        <v>487</v>
      </c>
      <c r="BD9" t="s">
        <v>74</v>
      </c>
      <c r="BE9" t="s">
        <v>74</v>
      </c>
      <c r="BF9" t="s">
        <v>74</v>
      </c>
      <c r="BG9" t="s">
        <v>74</v>
      </c>
      <c r="BH9" t="s">
        <v>74</v>
      </c>
      <c r="BI9">
        <v>11</v>
      </c>
      <c r="BJ9" t="s">
        <v>241</v>
      </c>
      <c r="BK9" t="s">
        <v>98</v>
      </c>
      <c r="BL9" t="s">
        <v>242</v>
      </c>
      <c r="BM9" t="s">
        <v>243</v>
      </c>
      <c r="BN9" t="s">
        <v>74</v>
      </c>
      <c r="BO9" t="s">
        <v>74</v>
      </c>
      <c r="BP9" t="s">
        <v>74</v>
      </c>
      <c r="BQ9" t="s">
        <v>74</v>
      </c>
      <c r="BR9" t="s">
        <v>101</v>
      </c>
      <c r="BS9" t="s">
        <v>258</v>
      </c>
      <c r="BT9" t="str">
        <f>HYPERLINK("https%3A%2F%2Fwww.webofscience.com%2Fwos%2Fwoscc%2Ffull-record%2FWOS:000249227100021","View Full Record in Web of Science")</f>
        <v>View Full Record in Web of Science</v>
      </c>
    </row>
    <row r="10" spans="1:72" x14ac:dyDescent="0.15">
      <c r="A10" t="s">
        <v>72</v>
      </c>
      <c r="B10" t="s">
        <v>259</v>
      </c>
      <c r="C10" t="s">
        <v>74</v>
      </c>
      <c r="D10" t="s">
        <v>74</v>
      </c>
      <c r="E10" t="s">
        <v>74</v>
      </c>
      <c r="F10" t="s">
        <v>260</v>
      </c>
      <c r="G10" t="s">
        <v>74</v>
      </c>
      <c r="H10" t="s">
        <v>74</v>
      </c>
      <c r="I10" t="s">
        <v>261</v>
      </c>
      <c r="J10" t="s">
        <v>262</v>
      </c>
      <c r="K10" t="s">
        <v>74</v>
      </c>
      <c r="L10" t="s">
        <v>74</v>
      </c>
      <c r="M10" t="s">
        <v>78</v>
      </c>
      <c r="N10" t="s">
        <v>79</v>
      </c>
      <c r="O10" t="s">
        <v>74</v>
      </c>
      <c r="P10" t="s">
        <v>74</v>
      </c>
      <c r="Q10" t="s">
        <v>74</v>
      </c>
      <c r="R10" t="s">
        <v>74</v>
      </c>
      <c r="S10" t="s">
        <v>74</v>
      </c>
      <c r="T10" t="s">
        <v>263</v>
      </c>
      <c r="U10" t="s">
        <v>264</v>
      </c>
      <c r="V10" t="s">
        <v>265</v>
      </c>
      <c r="W10" t="s">
        <v>266</v>
      </c>
      <c r="X10" t="s">
        <v>267</v>
      </c>
      <c r="Y10" t="s">
        <v>268</v>
      </c>
      <c r="Z10" t="s">
        <v>269</v>
      </c>
      <c r="AA10" t="s">
        <v>270</v>
      </c>
      <c r="AB10" t="s">
        <v>271</v>
      </c>
      <c r="AC10" t="s">
        <v>74</v>
      </c>
      <c r="AD10" t="s">
        <v>74</v>
      </c>
      <c r="AE10" t="s">
        <v>74</v>
      </c>
      <c r="AF10" t="s">
        <v>74</v>
      </c>
      <c r="AG10">
        <v>71</v>
      </c>
      <c r="AH10">
        <v>64</v>
      </c>
      <c r="AI10">
        <v>75</v>
      </c>
      <c r="AJ10">
        <v>0</v>
      </c>
      <c r="AK10">
        <v>38</v>
      </c>
      <c r="AL10" t="s">
        <v>272</v>
      </c>
      <c r="AM10" t="s">
        <v>273</v>
      </c>
      <c r="AN10" t="s">
        <v>274</v>
      </c>
      <c r="AO10" t="s">
        <v>275</v>
      </c>
      <c r="AP10" t="s">
        <v>276</v>
      </c>
      <c r="AQ10" t="s">
        <v>74</v>
      </c>
      <c r="AR10" t="s">
        <v>277</v>
      </c>
      <c r="AS10" t="s">
        <v>278</v>
      </c>
      <c r="AT10" t="s">
        <v>279</v>
      </c>
      <c r="AU10">
        <v>2007</v>
      </c>
      <c r="AV10">
        <v>347</v>
      </c>
      <c r="AW10" t="s">
        <v>280</v>
      </c>
      <c r="AX10" t="s">
        <v>74</v>
      </c>
      <c r="AY10" t="s">
        <v>74</v>
      </c>
      <c r="AZ10" t="s">
        <v>74</v>
      </c>
      <c r="BA10" t="s">
        <v>74</v>
      </c>
      <c r="BB10">
        <v>144</v>
      </c>
      <c r="BC10">
        <v>154</v>
      </c>
      <c r="BD10" t="s">
        <v>74</v>
      </c>
      <c r="BE10" t="s">
        <v>281</v>
      </c>
      <c r="BF10" t="str">
        <f>HYPERLINK("http://dx.doi.org/10.1016/j.jembe.2007.04.002","http://dx.doi.org/10.1016/j.jembe.2007.04.002")</f>
        <v>http://dx.doi.org/10.1016/j.jembe.2007.04.002</v>
      </c>
      <c r="BG10" t="s">
        <v>74</v>
      </c>
      <c r="BH10" t="s">
        <v>74</v>
      </c>
      <c r="BI10">
        <v>11</v>
      </c>
      <c r="BJ10" t="s">
        <v>282</v>
      </c>
      <c r="BK10" t="s">
        <v>98</v>
      </c>
      <c r="BL10" t="s">
        <v>283</v>
      </c>
      <c r="BM10" t="s">
        <v>284</v>
      </c>
      <c r="BN10" t="s">
        <v>74</v>
      </c>
      <c r="BO10" t="s">
        <v>74</v>
      </c>
      <c r="BP10" t="s">
        <v>74</v>
      </c>
      <c r="BQ10" t="s">
        <v>74</v>
      </c>
      <c r="BR10" t="s">
        <v>101</v>
      </c>
      <c r="BS10" t="s">
        <v>285</v>
      </c>
      <c r="BT10" t="str">
        <f>HYPERLINK("https%3A%2F%2Fwww.webofscience.com%2Fwos%2Fwoscc%2Ffull-record%2FWOS:000247666600013","View Full Record in Web of Science")</f>
        <v>View Full Record in Web of Science</v>
      </c>
    </row>
    <row r="11" spans="1:72" x14ac:dyDescent="0.15">
      <c r="A11" t="s">
        <v>72</v>
      </c>
      <c r="B11" t="s">
        <v>286</v>
      </c>
      <c r="C11" t="s">
        <v>74</v>
      </c>
      <c r="D11" t="s">
        <v>74</v>
      </c>
      <c r="E11" t="s">
        <v>74</v>
      </c>
      <c r="F11" t="s">
        <v>287</v>
      </c>
      <c r="G11" t="s">
        <v>74</v>
      </c>
      <c r="H11" t="s">
        <v>74</v>
      </c>
      <c r="I11" t="s">
        <v>288</v>
      </c>
      <c r="J11" t="s">
        <v>289</v>
      </c>
      <c r="K11" t="s">
        <v>74</v>
      </c>
      <c r="L11" t="s">
        <v>74</v>
      </c>
      <c r="M11" t="s">
        <v>78</v>
      </c>
      <c r="N11" t="s">
        <v>79</v>
      </c>
      <c r="O11" t="s">
        <v>74</v>
      </c>
      <c r="P11" t="s">
        <v>74</v>
      </c>
      <c r="Q11" t="s">
        <v>74</v>
      </c>
      <c r="R11" t="s">
        <v>74</v>
      </c>
      <c r="S11" t="s">
        <v>74</v>
      </c>
      <c r="T11" t="s">
        <v>74</v>
      </c>
      <c r="U11" t="s">
        <v>290</v>
      </c>
      <c r="V11" t="s">
        <v>291</v>
      </c>
      <c r="W11" t="s">
        <v>292</v>
      </c>
      <c r="X11" t="s">
        <v>293</v>
      </c>
      <c r="Y11" t="s">
        <v>294</v>
      </c>
      <c r="Z11" t="s">
        <v>295</v>
      </c>
      <c r="AA11" t="s">
        <v>74</v>
      </c>
      <c r="AB11" t="s">
        <v>74</v>
      </c>
      <c r="AC11" t="s">
        <v>74</v>
      </c>
      <c r="AD11" t="s">
        <v>74</v>
      </c>
      <c r="AE11" t="s">
        <v>74</v>
      </c>
      <c r="AF11" t="s">
        <v>74</v>
      </c>
      <c r="AG11">
        <v>96</v>
      </c>
      <c r="AH11">
        <v>115</v>
      </c>
      <c r="AI11">
        <v>130</v>
      </c>
      <c r="AJ11">
        <v>1</v>
      </c>
      <c r="AK11">
        <v>47</v>
      </c>
      <c r="AL11" t="s">
        <v>141</v>
      </c>
      <c r="AM11" t="s">
        <v>142</v>
      </c>
      <c r="AN11" t="s">
        <v>143</v>
      </c>
      <c r="AO11" t="s">
        <v>296</v>
      </c>
      <c r="AP11" t="s">
        <v>297</v>
      </c>
      <c r="AQ11" t="s">
        <v>74</v>
      </c>
      <c r="AR11" t="s">
        <v>289</v>
      </c>
      <c r="AS11" t="s">
        <v>298</v>
      </c>
      <c r="AT11" t="s">
        <v>279</v>
      </c>
      <c r="AU11">
        <v>2007</v>
      </c>
      <c r="AV11">
        <v>22</v>
      </c>
      <c r="AW11">
        <v>3</v>
      </c>
      <c r="AX11" t="s">
        <v>74</v>
      </c>
      <c r="AY11" t="s">
        <v>74</v>
      </c>
      <c r="AZ11" t="s">
        <v>74</v>
      </c>
      <c r="BA11" t="s">
        <v>74</v>
      </c>
      <c r="BB11" t="s">
        <v>74</v>
      </c>
      <c r="BC11" t="s">
        <v>74</v>
      </c>
      <c r="BD11" t="s">
        <v>299</v>
      </c>
      <c r="BE11" t="s">
        <v>300</v>
      </c>
      <c r="BF11" t="str">
        <f>HYPERLINK("http://dx.doi.org/10.1029/2006PA001350","http://dx.doi.org/10.1029/2006PA001350")</f>
        <v>http://dx.doi.org/10.1029/2006PA001350</v>
      </c>
      <c r="BG11" t="s">
        <v>74</v>
      </c>
      <c r="BH11" t="s">
        <v>74</v>
      </c>
      <c r="BI11">
        <v>18</v>
      </c>
      <c r="BJ11" t="s">
        <v>301</v>
      </c>
      <c r="BK11" t="s">
        <v>98</v>
      </c>
      <c r="BL11" t="s">
        <v>302</v>
      </c>
      <c r="BM11" t="s">
        <v>303</v>
      </c>
      <c r="BN11" t="s">
        <v>74</v>
      </c>
      <c r="BO11" t="s">
        <v>304</v>
      </c>
      <c r="BP11" t="s">
        <v>74</v>
      </c>
      <c r="BQ11" t="s">
        <v>74</v>
      </c>
      <c r="BR11" t="s">
        <v>101</v>
      </c>
      <c r="BS11" t="s">
        <v>305</v>
      </c>
      <c r="BT11" t="str">
        <f>HYPERLINK("https%3A%2F%2Fwww.webofscience.com%2Fwos%2Fwoscc%2Ffull-record%2FWOS:000249035500002","View Full Record in Web of Science")</f>
        <v>View Full Record in Web of Science</v>
      </c>
    </row>
    <row r="12" spans="1:72" x14ac:dyDescent="0.15">
      <c r="A12" t="s">
        <v>72</v>
      </c>
      <c r="B12" t="s">
        <v>306</v>
      </c>
      <c r="C12" t="s">
        <v>74</v>
      </c>
      <c r="D12" t="s">
        <v>74</v>
      </c>
      <c r="E12" t="s">
        <v>74</v>
      </c>
      <c r="F12" t="s">
        <v>307</v>
      </c>
      <c r="G12" t="s">
        <v>74</v>
      </c>
      <c r="H12" t="s">
        <v>74</v>
      </c>
      <c r="I12" t="s">
        <v>308</v>
      </c>
      <c r="J12" t="s">
        <v>309</v>
      </c>
      <c r="K12" t="s">
        <v>74</v>
      </c>
      <c r="L12" t="s">
        <v>74</v>
      </c>
      <c r="M12" t="s">
        <v>78</v>
      </c>
      <c r="N12" t="s">
        <v>79</v>
      </c>
      <c r="O12" t="s">
        <v>74</v>
      </c>
      <c r="P12" t="s">
        <v>74</v>
      </c>
      <c r="Q12" t="s">
        <v>74</v>
      </c>
      <c r="R12" t="s">
        <v>74</v>
      </c>
      <c r="S12" t="s">
        <v>74</v>
      </c>
      <c r="T12" t="s">
        <v>74</v>
      </c>
      <c r="U12" t="s">
        <v>310</v>
      </c>
      <c r="V12" t="s">
        <v>311</v>
      </c>
      <c r="W12" t="s">
        <v>312</v>
      </c>
      <c r="X12" t="s">
        <v>313</v>
      </c>
      <c r="Y12" t="s">
        <v>314</v>
      </c>
      <c r="Z12" t="s">
        <v>315</v>
      </c>
      <c r="AA12" t="s">
        <v>316</v>
      </c>
      <c r="AB12" t="s">
        <v>317</v>
      </c>
      <c r="AC12" t="s">
        <v>74</v>
      </c>
      <c r="AD12" t="s">
        <v>74</v>
      </c>
      <c r="AE12" t="s">
        <v>74</v>
      </c>
      <c r="AF12" t="s">
        <v>74</v>
      </c>
      <c r="AG12">
        <v>33</v>
      </c>
      <c r="AH12">
        <v>176</v>
      </c>
      <c r="AI12">
        <v>194</v>
      </c>
      <c r="AJ12">
        <v>1</v>
      </c>
      <c r="AK12">
        <v>71</v>
      </c>
      <c r="AL12" t="s">
        <v>318</v>
      </c>
      <c r="AM12" t="s">
        <v>142</v>
      </c>
      <c r="AN12" t="s">
        <v>319</v>
      </c>
      <c r="AO12" t="s">
        <v>320</v>
      </c>
      <c r="AP12" t="s">
        <v>74</v>
      </c>
      <c r="AQ12" t="s">
        <v>74</v>
      </c>
      <c r="AR12" t="s">
        <v>309</v>
      </c>
      <c r="AS12" t="s">
        <v>321</v>
      </c>
      <c r="AT12" t="s">
        <v>279</v>
      </c>
      <c r="AU12">
        <v>2007</v>
      </c>
      <c r="AV12">
        <v>317</v>
      </c>
      <c r="AW12">
        <v>5841</v>
      </c>
      <c r="AX12" t="s">
        <v>74</v>
      </c>
      <c r="AY12" t="s">
        <v>74</v>
      </c>
      <c r="AZ12" t="s">
        <v>74</v>
      </c>
      <c r="BA12" t="s">
        <v>74</v>
      </c>
      <c r="BB12">
        <v>1067</v>
      </c>
      <c r="BC12">
        <v>1070</v>
      </c>
      <c r="BD12" t="s">
        <v>74</v>
      </c>
      <c r="BE12" t="s">
        <v>322</v>
      </c>
      <c r="BF12" t="str">
        <f>HYPERLINK("http://dx.doi.org/10.1126/science.1144602","http://dx.doi.org/10.1126/science.1144602")</f>
        <v>http://dx.doi.org/10.1126/science.1144602</v>
      </c>
      <c r="BG12" t="s">
        <v>74</v>
      </c>
      <c r="BH12" t="s">
        <v>74</v>
      </c>
      <c r="BI12">
        <v>4</v>
      </c>
      <c r="BJ12" t="s">
        <v>241</v>
      </c>
      <c r="BK12" t="s">
        <v>98</v>
      </c>
      <c r="BL12" t="s">
        <v>242</v>
      </c>
      <c r="BM12" t="s">
        <v>323</v>
      </c>
      <c r="BN12">
        <v>17717181</v>
      </c>
      <c r="BO12" t="s">
        <v>74</v>
      </c>
      <c r="BP12" t="s">
        <v>74</v>
      </c>
      <c r="BQ12" t="s">
        <v>74</v>
      </c>
      <c r="BR12" t="s">
        <v>101</v>
      </c>
      <c r="BS12" t="s">
        <v>324</v>
      </c>
      <c r="BT12" t="str">
        <f>HYPERLINK("https%3A%2F%2Fwww.webofscience.com%2Fwos%2Fwoscc%2Ffull-record%2FWOS:000248946700040","View Full Record in Web of Science")</f>
        <v>View Full Record in Web of Science</v>
      </c>
    </row>
    <row r="13" spans="1:72" x14ac:dyDescent="0.15">
      <c r="A13" t="s">
        <v>72</v>
      </c>
      <c r="B13" t="s">
        <v>325</v>
      </c>
      <c r="C13" t="s">
        <v>74</v>
      </c>
      <c r="D13" t="s">
        <v>74</v>
      </c>
      <c r="E13" t="s">
        <v>74</v>
      </c>
      <c r="F13" t="s">
        <v>326</v>
      </c>
      <c r="G13" t="s">
        <v>74</v>
      </c>
      <c r="H13" t="s">
        <v>74</v>
      </c>
      <c r="I13" t="s">
        <v>327</v>
      </c>
      <c r="J13" t="s">
        <v>328</v>
      </c>
      <c r="K13" t="s">
        <v>74</v>
      </c>
      <c r="L13" t="s">
        <v>74</v>
      </c>
      <c r="M13" t="s">
        <v>78</v>
      </c>
      <c r="N13" t="s">
        <v>79</v>
      </c>
      <c r="O13" t="s">
        <v>74</v>
      </c>
      <c r="P13" t="s">
        <v>74</v>
      </c>
      <c r="Q13" t="s">
        <v>74</v>
      </c>
      <c r="R13" t="s">
        <v>74</v>
      </c>
      <c r="S13" t="s">
        <v>74</v>
      </c>
      <c r="T13" t="s">
        <v>74</v>
      </c>
      <c r="U13" t="s">
        <v>329</v>
      </c>
      <c r="V13" t="s">
        <v>330</v>
      </c>
      <c r="W13" t="s">
        <v>331</v>
      </c>
      <c r="X13" t="s">
        <v>332</v>
      </c>
      <c r="Y13" t="s">
        <v>333</v>
      </c>
      <c r="Z13" t="s">
        <v>334</v>
      </c>
      <c r="AA13" t="s">
        <v>335</v>
      </c>
      <c r="AB13" t="s">
        <v>336</v>
      </c>
      <c r="AC13" t="s">
        <v>74</v>
      </c>
      <c r="AD13" t="s">
        <v>74</v>
      </c>
      <c r="AE13" t="s">
        <v>74</v>
      </c>
      <c r="AF13" t="s">
        <v>74</v>
      </c>
      <c r="AG13">
        <v>39</v>
      </c>
      <c r="AH13">
        <v>17</v>
      </c>
      <c r="AI13">
        <v>17</v>
      </c>
      <c r="AJ13">
        <v>0</v>
      </c>
      <c r="AK13">
        <v>8</v>
      </c>
      <c r="AL13" t="s">
        <v>337</v>
      </c>
      <c r="AM13" t="s">
        <v>142</v>
      </c>
      <c r="AN13" t="s">
        <v>338</v>
      </c>
      <c r="AO13" t="s">
        <v>339</v>
      </c>
      <c r="AP13" t="s">
        <v>74</v>
      </c>
      <c r="AQ13" t="s">
        <v>74</v>
      </c>
      <c r="AR13" t="s">
        <v>340</v>
      </c>
      <c r="AS13" t="s">
        <v>341</v>
      </c>
      <c r="AT13" t="s">
        <v>342</v>
      </c>
      <c r="AU13">
        <v>2007</v>
      </c>
      <c r="AV13">
        <v>111</v>
      </c>
      <c r="AW13">
        <v>33</v>
      </c>
      <c r="AX13" t="s">
        <v>74</v>
      </c>
      <c r="AY13" t="s">
        <v>74</v>
      </c>
      <c r="AZ13" t="s">
        <v>74</v>
      </c>
      <c r="BA13" t="s">
        <v>74</v>
      </c>
      <c r="BB13">
        <v>8126</v>
      </c>
      <c r="BC13">
        <v>8138</v>
      </c>
      <c r="BD13" t="s">
        <v>74</v>
      </c>
      <c r="BE13" t="s">
        <v>343</v>
      </c>
      <c r="BF13" t="str">
        <f>HYPERLINK("http://dx.doi.org/10.1021/jp0689464","http://dx.doi.org/10.1021/jp0689464")</f>
        <v>http://dx.doi.org/10.1021/jp0689464</v>
      </c>
      <c r="BG13" t="s">
        <v>74</v>
      </c>
      <c r="BH13" t="s">
        <v>74</v>
      </c>
      <c r="BI13">
        <v>13</v>
      </c>
      <c r="BJ13" t="s">
        <v>344</v>
      </c>
      <c r="BK13" t="s">
        <v>98</v>
      </c>
      <c r="BL13" t="s">
        <v>345</v>
      </c>
      <c r="BM13" t="s">
        <v>346</v>
      </c>
      <c r="BN13">
        <v>17655283</v>
      </c>
      <c r="BO13" t="s">
        <v>74</v>
      </c>
      <c r="BP13" t="s">
        <v>74</v>
      </c>
      <c r="BQ13" t="s">
        <v>74</v>
      </c>
      <c r="BR13" t="s">
        <v>101</v>
      </c>
      <c r="BS13" t="s">
        <v>347</v>
      </c>
      <c r="BT13" t="str">
        <f>HYPERLINK("https%3A%2F%2Fwww.webofscience.com%2Fwos%2Fwoscc%2Ffull-record%2FWOS:000248758800012","View Full Record in Web of Science")</f>
        <v>View Full Record in Web of Science</v>
      </c>
    </row>
    <row r="14" spans="1:72" x14ac:dyDescent="0.15">
      <c r="A14" t="s">
        <v>72</v>
      </c>
      <c r="B14" t="s">
        <v>348</v>
      </c>
      <c r="C14" t="s">
        <v>74</v>
      </c>
      <c r="D14" t="s">
        <v>74</v>
      </c>
      <c r="E14" t="s">
        <v>74</v>
      </c>
      <c r="F14" t="s">
        <v>349</v>
      </c>
      <c r="G14" t="s">
        <v>74</v>
      </c>
      <c r="H14" t="s">
        <v>74</v>
      </c>
      <c r="I14" t="s">
        <v>350</v>
      </c>
      <c r="J14" t="s">
        <v>351</v>
      </c>
      <c r="K14" t="s">
        <v>74</v>
      </c>
      <c r="L14" t="s">
        <v>74</v>
      </c>
      <c r="M14" t="s">
        <v>78</v>
      </c>
      <c r="N14" t="s">
        <v>79</v>
      </c>
      <c r="O14" t="s">
        <v>74</v>
      </c>
      <c r="P14" t="s">
        <v>74</v>
      </c>
      <c r="Q14" t="s">
        <v>74</v>
      </c>
      <c r="R14" t="s">
        <v>74</v>
      </c>
      <c r="S14" t="s">
        <v>74</v>
      </c>
      <c r="T14" t="s">
        <v>74</v>
      </c>
      <c r="U14" t="s">
        <v>352</v>
      </c>
      <c r="V14" t="s">
        <v>353</v>
      </c>
      <c r="W14" t="s">
        <v>354</v>
      </c>
      <c r="X14" t="s">
        <v>355</v>
      </c>
      <c r="Y14" t="s">
        <v>356</v>
      </c>
      <c r="Z14" t="s">
        <v>357</v>
      </c>
      <c r="AA14" t="s">
        <v>358</v>
      </c>
      <c r="AB14" t="s">
        <v>359</v>
      </c>
      <c r="AC14" t="s">
        <v>360</v>
      </c>
      <c r="AD14" t="s">
        <v>361</v>
      </c>
      <c r="AE14" t="s">
        <v>74</v>
      </c>
      <c r="AF14" t="s">
        <v>74</v>
      </c>
      <c r="AG14">
        <v>33</v>
      </c>
      <c r="AH14">
        <v>337</v>
      </c>
      <c r="AI14">
        <v>402</v>
      </c>
      <c r="AJ14">
        <v>7</v>
      </c>
      <c r="AK14">
        <v>156</v>
      </c>
      <c r="AL14" t="s">
        <v>362</v>
      </c>
      <c r="AM14" t="s">
        <v>363</v>
      </c>
      <c r="AN14" t="s">
        <v>364</v>
      </c>
      <c r="AO14" t="s">
        <v>365</v>
      </c>
      <c r="AP14" t="s">
        <v>366</v>
      </c>
      <c r="AQ14" t="s">
        <v>74</v>
      </c>
      <c r="AR14" t="s">
        <v>351</v>
      </c>
      <c r="AS14" t="s">
        <v>367</v>
      </c>
      <c r="AT14" t="s">
        <v>342</v>
      </c>
      <c r="AU14">
        <v>2007</v>
      </c>
      <c r="AV14">
        <v>448</v>
      </c>
      <c r="AW14">
        <v>7156</v>
      </c>
      <c r="AX14" t="s">
        <v>74</v>
      </c>
      <c r="AY14" t="s">
        <v>74</v>
      </c>
      <c r="AZ14" t="s">
        <v>74</v>
      </c>
      <c r="BA14" t="s">
        <v>74</v>
      </c>
      <c r="BB14">
        <v>912</v>
      </c>
      <c r="BC14" t="s">
        <v>368</v>
      </c>
      <c r="BD14" t="s">
        <v>74</v>
      </c>
      <c r="BE14" t="s">
        <v>369</v>
      </c>
      <c r="BF14" t="str">
        <f>HYPERLINK("http://dx.doi.org/10.1038/nature06015","http://dx.doi.org/10.1038/nature06015")</f>
        <v>http://dx.doi.org/10.1038/nature06015</v>
      </c>
      <c r="BG14" t="s">
        <v>74</v>
      </c>
      <c r="BH14" t="s">
        <v>74</v>
      </c>
      <c r="BI14">
        <v>6</v>
      </c>
      <c r="BJ14" t="s">
        <v>241</v>
      </c>
      <c r="BK14" t="s">
        <v>98</v>
      </c>
      <c r="BL14" t="s">
        <v>242</v>
      </c>
      <c r="BM14" t="s">
        <v>370</v>
      </c>
      <c r="BN14">
        <v>17713531</v>
      </c>
      <c r="BO14" t="s">
        <v>74</v>
      </c>
      <c r="BP14" t="s">
        <v>74</v>
      </c>
      <c r="BQ14" t="s">
        <v>74</v>
      </c>
      <c r="BR14" t="s">
        <v>101</v>
      </c>
      <c r="BS14" t="s">
        <v>371</v>
      </c>
      <c r="BT14" t="str">
        <f>HYPERLINK("https%3A%2F%2Fwww.webofscience.com%2Fwos%2Fwoscc%2Ffull-record%2FWOS:000248912900043","View Full Record in Web of Science")</f>
        <v>View Full Record in Web of Science</v>
      </c>
    </row>
    <row r="15" spans="1:72" x14ac:dyDescent="0.15">
      <c r="A15" t="s">
        <v>72</v>
      </c>
      <c r="B15" t="s">
        <v>372</v>
      </c>
      <c r="C15" t="s">
        <v>74</v>
      </c>
      <c r="D15" t="s">
        <v>74</v>
      </c>
      <c r="E15" t="s">
        <v>74</v>
      </c>
      <c r="F15" t="s">
        <v>373</v>
      </c>
      <c r="G15" t="s">
        <v>74</v>
      </c>
      <c r="H15" t="s">
        <v>74</v>
      </c>
      <c r="I15" t="s">
        <v>374</v>
      </c>
      <c r="J15" t="s">
        <v>375</v>
      </c>
      <c r="K15" t="s">
        <v>74</v>
      </c>
      <c r="L15" t="s">
        <v>74</v>
      </c>
      <c r="M15" t="s">
        <v>78</v>
      </c>
      <c r="N15" t="s">
        <v>79</v>
      </c>
      <c r="O15" t="s">
        <v>74</v>
      </c>
      <c r="P15" t="s">
        <v>74</v>
      </c>
      <c r="Q15" t="s">
        <v>74</v>
      </c>
      <c r="R15" t="s">
        <v>74</v>
      </c>
      <c r="S15" t="s">
        <v>74</v>
      </c>
      <c r="T15" t="s">
        <v>376</v>
      </c>
      <c r="U15" t="s">
        <v>377</v>
      </c>
      <c r="V15" t="s">
        <v>378</v>
      </c>
      <c r="W15" t="s">
        <v>379</v>
      </c>
      <c r="X15" t="s">
        <v>380</v>
      </c>
      <c r="Y15" t="s">
        <v>381</v>
      </c>
      <c r="Z15" t="s">
        <v>382</v>
      </c>
      <c r="AA15" t="s">
        <v>383</v>
      </c>
      <c r="AB15" t="s">
        <v>384</v>
      </c>
      <c r="AC15" t="s">
        <v>385</v>
      </c>
      <c r="AD15" t="s">
        <v>361</v>
      </c>
      <c r="AE15" t="s">
        <v>74</v>
      </c>
      <c r="AF15" t="s">
        <v>74</v>
      </c>
      <c r="AG15">
        <v>15</v>
      </c>
      <c r="AH15">
        <v>94</v>
      </c>
      <c r="AI15">
        <v>103</v>
      </c>
      <c r="AJ15">
        <v>0</v>
      </c>
      <c r="AK15">
        <v>42</v>
      </c>
      <c r="AL15" t="s">
        <v>386</v>
      </c>
      <c r="AM15" t="s">
        <v>363</v>
      </c>
      <c r="AN15" t="s">
        <v>387</v>
      </c>
      <c r="AO15" t="s">
        <v>388</v>
      </c>
      <c r="AP15" t="s">
        <v>389</v>
      </c>
      <c r="AQ15" t="s">
        <v>74</v>
      </c>
      <c r="AR15" t="s">
        <v>390</v>
      </c>
      <c r="AS15" t="s">
        <v>391</v>
      </c>
      <c r="AT15" t="s">
        <v>392</v>
      </c>
      <c r="AU15">
        <v>2007</v>
      </c>
      <c r="AV15">
        <v>3</v>
      </c>
      <c r="AW15">
        <v>4</v>
      </c>
      <c r="AX15" t="s">
        <v>74</v>
      </c>
      <c r="AY15" t="s">
        <v>74</v>
      </c>
      <c r="AZ15" t="s">
        <v>74</v>
      </c>
      <c r="BA15" t="s">
        <v>74</v>
      </c>
      <c r="BB15">
        <v>371</v>
      </c>
      <c r="BC15">
        <v>374</v>
      </c>
      <c r="BD15" t="s">
        <v>74</v>
      </c>
      <c r="BE15" t="s">
        <v>393</v>
      </c>
      <c r="BF15" t="str">
        <f>HYPERLINK("http://dx.doi.org/10.1098/rsbl.2007.0157","http://dx.doi.org/10.1098/rsbl.2007.0157")</f>
        <v>http://dx.doi.org/10.1098/rsbl.2007.0157</v>
      </c>
      <c r="BG15" t="s">
        <v>74</v>
      </c>
      <c r="BH15" t="s">
        <v>74</v>
      </c>
      <c r="BI15">
        <v>4</v>
      </c>
      <c r="BJ15" t="s">
        <v>394</v>
      </c>
      <c r="BK15" t="s">
        <v>98</v>
      </c>
      <c r="BL15" t="s">
        <v>395</v>
      </c>
      <c r="BM15" t="s">
        <v>396</v>
      </c>
      <c r="BN15">
        <v>17504733</v>
      </c>
      <c r="BO15" t="s">
        <v>198</v>
      </c>
      <c r="BP15" t="s">
        <v>74</v>
      </c>
      <c r="BQ15" t="s">
        <v>74</v>
      </c>
      <c r="BR15" t="s">
        <v>101</v>
      </c>
      <c r="BS15" t="s">
        <v>397</v>
      </c>
      <c r="BT15" t="str">
        <f>HYPERLINK("https%3A%2F%2Fwww.webofscience.com%2Fwos%2Fwoscc%2Ffull-record%2FWOS:000247907000006","View Full Record in Web of Science")</f>
        <v>View Full Record in Web of Science</v>
      </c>
    </row>
    <row r="16" spans="1:72" x14ac:dyDescent="0.15">
      <c r="A16" t="s">
        <v>72</v>
      </c>
      <c r="B16" t="s">
        <v>398</v>
      </c>
      <c r="C16" t="s">
        <v>74</v>
      </c>
      <c r="D16" t="s">
        <v>74</v>
      </c>
      <c r="E16" t="s">
        <v>74</v>
      </c>
      <c r="F16" t="s">
        <v>399</v>
      </c>
      <c r="G16" t="s">
        <v>74</v>
      </c>
      <c r="H16" t="s">
        <v>74</v>
      </c>
      <c r="I16" t="s">
        <v>400</v>
      </c>
      <c r="J16" t="s">
        <v>130</v>
      </c>
      <c r="K16" t="s">
        <v>74</v>
      </c>
      <c r="L16" t="s">
        <v>74</v>
      </c>
      <c r="M16" t="s">
        <v>78</v>
      </c>
      <c r="N16" t="s">
        <v>79</v>
      </c>
      <c r="O16" t="s">
        <v>74</v>
      </c>
      <c r="P16" t="s">
        <v>74</v>
      </c>
      <c r="Q16" t="s">
        <v>74</v>
      </c>
      <c r="R16" t="s">
        <v>74</v>
      </c>
      <c r="S16" t="s">
        <v>74</v>
      </c>
      <c r="T16" t="s">
        <v>74</v>
      </c>
      <c r="U16" t="s">
        <v>401</v>
      </c>
      <c r="V16" t="s">
        <v>402</v>
      </c>
      <c r="W16" t="s">
        <v>403</v>
      </c>
      <c r="X16" t="s">
        <v>404</v>
      </c>
      <c r="Y16" t="s">
        <v>405</v>
      </c>
      <c r="Z16" t="s">
        <v>406</v>
      </c>
      <c r="AA16" t="s">
        <v>407</v>
      </c>
      <c r="AB16" t="s">
        <v>408</v>
      </c>
      <c r="AC16" t="s">
        <v>74</v>
      </c>
      <c r="AD16" t="s">
        <v>74</v>
      </c>
      <c r="AE16" t="s">
        <v>74</v>
      </c>
      <c r="AF16" t="s">
        <v>74</v>
      </c>
      <c r="AG16">
        <v>21</v>
      </c>
      <c r="AH16">
        <v>26</v>
      </c>
      <c r="AI16">
        <v>29</v>
      </c>
      <c r="AJ16">
        <v>0</v>
      </c>
      <c r="AK16">
        <v>10</v>
      </c>
      <c r="AL16" t="s">
        <v>141</v>
      </c>
      <c r="AM16" t="s">
        <v>142</v>
      </c>
      <c r="AN16" t="s">
        <v>143</v>
      </c>
      <c r="AO16" t="s">
        <v>144</v>
      </c>
      <c r="AP16" t="s">
        <v>145</v>
      </c>
      <c r="AQ16" t="s">
        <v>74</v>
      </c>
      <c r="AR16" t="s">
        <v>146</v>
      </c>
      <c r="AS16" t="s">
        <v>147</v>
      </c>
      <c r="AT16" t="s">
        <v>392</v>
      </c>
      <c r="AU16">
        <v>2007</v>
      </c>
      <c r="AV16">
        <v>34</v>
      </c>
      <c r="AW16">
        <v>16</v>
      </c>
      <c r="AX16" t="s">
        <v>74</v>
      </c>
      <c r="AY16" t="s">
        <v>74</v>
      </c>
      <c r="AZ16" t="s">
        <v>74</v>
      </c>
      <c r="BA16" t="s">
        <v>74</v>
      </c>
      <c r="BB16" t="s">
        <v>74</v>
      </c>
      <c r="BC16" t="s">
        <v>74</v>
      </c>
      <c r="BD16" t="s">
        <v>409</v>
      </c>
      <c r="BE16" t="s">
        <v>410</v>
      </c>
      <c r="BF16" t="str">
        <f>HYPERLINK("http://dx.doi.org/10.1029/2007GL030526","http://dx.doi.org/10.1029/2007GL030526")</f>
        <v>http://dx.doi.org/10.1029/2007GL030526</v>
      </c>
      <c r="BG16" t="s">
        <v>74</v>
      </c>
      <c r="BH16" t="s">
        <v>74</v>
      </c>
      <c r="BI16">
        <v>5</v>
      </c>
      <c r="BJ16" t="s">
        <v>151</v>
      </c>
      <c r="BK16" t="s">
        <v>98</v>
      </c>
      <c r="BL16" t="s">
        <v>152</v>
      </c>
      <c r="BM16" t="s">
        <v>411</v>
      </c>
      <c r="BN16" t="s">
        <v>74</v>
      </c>
      <c r="BO16" t="s">
        <v>154</v>
      </c>
      <c r="BP16" t="s">
        <v>74</v>
      </c>
      <c r="BQ16" t="s">
        <v>74</v>
      </c>
      <c r="BR16" t="s">
        <v>101</v>
      </c>
      <c r="BS16" t="s">
        <v>412</v>
      </c>
      <c r="BT16" t="str">
        <f>HYPERLINK("https%3A%2F%2Fwww.webofscience.com%2Fwos%2Fwoscc%2Ffull-record%2FWOS:000249027500005","View Full Record in Web of Science")</f>
        <v>View Full Record in Web of Science</v>
      </c>
    </row>
    <row r="17" spans="1:72" x14ac:dyDescent="0.15">
      <c r="A17" t="s">
        <v>72</v>
      </c>
      <c r="B17" t="s">
        <v>413</v>
      </c>
      <c r="C17" t="s">
        <v>74</v>
      </c>
      <c r="D17" t="s">
        <v>74</v>
      </c>
      <c r="E17" t="s">
        <v>74</v>
      </c>
      <c r="F17" t="s">
        <v>414</v>
      </c>
      <c r="G17" t="s">
        <v>74</v>
      </c>
      <c r="H17" t="s">
        <v>74</v>
      </c>
      <c r="I17" t="s">
        <v>415</v>
      </c>
      <c r="J17" t="s">
        <v>416</v>
      </c>
      <c r="K17" t="s">
        <v>74</v>
      </c>
      <c r="L17" t="s">
        <v>74</v>
      </c>
      <c r="M17" t="s">
        <v>78</v>
      </c>
      <c r="N17" t="s">
        <v>79</v>
      </c>
      <c r="O17" t="s">
        <v>74</v>
      </c>
      <c r="P17" t="s">
        <v>74</v>
      </c>
      <c r="Q17" t="s">
        <v>74</v>
      </c>
      <c r="R17" t="s">
        <v>74</v>
      </c>
      <c r="S17" t="s">
        <v>74</v>
      </c>
      <c r="T17" t="s">
        <v>74</v>
      </c>
      <c r="U17" t="s">
        <v>417</v>
      </c>
      <c r="V17" t="s">
        <v>418</v>
      </c>
      <c r="W17" t="s">
        <v>419</v>
      </c>
      <c r="X17" t="s">
        <v>420</v>
      </c>
      <c r="Y17" t="s">
        <v>421</v>
      </c>
      <c r="Z17" t="s">
        <v>422</v>
      </c>
      <c r="AA17" t="s">
        <v>423</v>
      </c>
      <c r="AB17" t="s">
        <v>424</v>
      </c>
      <c r="AC17" t="s">
        <v>425</v>
      </c>
      <c r="AD17" t="s">
        <v>426</v>
      </c>
      <c r="AE17" t="s">
        <v>74</v>
      </c>
      <c r="AF17" t="s">
        <v>74</v>
      </c>
      <c r="AG17">
        <v>79</v>
      </c>
      <c r="AH17">
        <v>264</v>
      </c>
      <c r="AI17">
        <v>285</v>
      </c>
      <c r="AJ17">
        <v>2</v>
      </c>
      <c r="AK17">
        <v>61</v>
      </c>
      <c r="AL17" t="s">
        <v>141</v>
      </c>
      <c r="AM17" t="s">
        <v>142</v>
      </c>
      <c r="AN17" t="s">
        <v>143</v>
      </c>
      <c r="AO17" t="s">
        <v>427</v>
      </c>
      <c r="AP17" t="s">
        <v>428</v>
      </c>
      <c r="AQ17" t="s">
        <v>74</v>
      </c>
      <c r="AR17" t="s">
        <v>429</v>
      </c>
      <c r="AS17" t="s">
        <v>430</v>
      </c>
      <c r="AT17" t="s">
        <v>431</v>
      </c>
      <c r="AU17">
        <v>2007</v>
      </c>
      <c r="AV17">
        <v>112</v>
      </c>
      <c r="AW17" t="s">
        <v>432</v>
      </c>
      <c r="AX17" t="s">
        <v>74</v>
      </c>
      <c r="AY17" t="s">
        <v>74</v>
      </c>
      <c r="AZ17" t="s">
        <v>74</v>
      </c>
      <c r="BA17" t="s">
        <v>74</v>
      </c>
      <c r="BB17" t="s">
        <v>74</v>
      </c>
      <c r="BC17" t="s">
        <v>74</v>
      </c>
      <c r="BD17" t="s">
        <v>433</v>
      </c>
      <c r="BE17" t="s">
        <v>434</v>
      </c>
      <c r="BF17" t="str">
        <f>HYPERLINK("http://dx.doi.org/10.1029/2006JD008332","http://dx.doi.org/10.1029/2006JD008332")</f>
        <v>http://dx.doi.org/10.1029/2006JD008332</v>
      </c>
      <c r="BG17" t="s">
        <v>74</v>
      </c>
      <c r="BH17" t="s">
        <v>74</v>
      </c>
      <c r="BI17">
        <v>24</v>
      </c>
      <c r="BJ17" t="s">
        <v>435</v>
      </c>
      <c r="BK17" t="s">
        <v>98</v>
      </c>
      <c r="BL17" t="s">
        <v>435</v>
      </c>
      <c r="BM17" t="s">
        <v>436</v>
      </c>
      <c r="BN17" t="s">
        <v>74</v>
      </c>
      <c r="BO17" t="s">
        <v>437</v>
      </c>
      <c r="BP17" t="s">
        <v>74</v>
      </c>
      <c r="BQ17" t="s">
        <v>74</v>
      </c>
      <c r="BR17" t="s">
        <v>101</v>
      </c>
      <c r="BS17" t="s">
        <v>438</v>
      </c>
      <c r="BT17" t="str">
        <f>HYPERLINK("https%3A%2F%2Fwww.webofscience.com%2Fwos%2Fwoscc%2Ffull-record%2FWOS:000249029000005","View Full Record in Web of Science")</f>
        <v>View Full Record in Web of Science</v>
      </c>
    </row>
    <row r="18" spans="1:72" x14ac:dyDescent="0.15">
      <c r="A18" t="s">
        <v>72</v>
      </c>
      <c r="B18" t="s">
        <v>439</v>
      </c>
      <c r="C18" t="s">
        <v>74</v>
      </c>
      <c r="D18" t="s">
        <v>74</v>
      </c>
      <c r="E18" t="s">
        <v>74</v>
      </c>
      <c r="F18" t="s">
        <v>440</v>
      </c>
      <c r="G18" t="s">
        <v>74</v>
      </c>
      <c r="H18" t="s">
        <v>74</v>
      </c>
      <c r="I18" t="s">
        <v>441</v>
      </c>
      <c r="J18" t="s">
        <v>416</v>
      </c>
      <c r="K18" t="s">
        <v>74</v>
      </c>
      <c r="L18" t="s">
        <v>74</v>
      </c>
      <c r="M18" t="s">
        <v>78</v>
      </c>
      <c r="N18" t="s">
        <v>79</v>
      </c>
      <c r="O18" t="s">
        <v>74</v>
      </c>
      <c r="P18" t="s">
        <v>74</v>
      </c>
      <c r="Q18" t="s">
        <v>74</v>
      </c>
      <c r="R18" t="s">
        <v>74</v>
      </c>
      <c r="S18" t="s">
        <v>74</v>
      </c>
      <c r="T18" t="s">
        <v>74</v>
      </c>
      <c r="U18" t="s">
        <v>442</v>
      </c>
      <c r="V18" t="s">
        <v>443</v>
      </c>
      <c r="W18" t="s">
        <v>444</v>
      </c>
      <c r="X18" t="s">
        <v>445</v>
      </c>
      <c r="Y18" t="s">
        <v>446</v>
      </c>
      <c r="Z18" t="s">
        <v>447</v>
      </c>
      <c r="AA18" t="s">
        <v>448</v>
      </c>
      <c r="AB18" t="s">
        <v>449</v>
      </c>
      <c r="AC18" t="s">
        <v>74</v>
      </c>
      <c r="AD18" t="s">
        <v>74</v>
      </c>
      <c r="AE18" t="s">
        <v>74</v>
      </c>
      <c r="AF18" t="s">
        <v>74</v>
      </c>
      <c r="AG18">
        <v>28</v>
      </c>
      <c r="AH18">
        <v>4</v>
      </c>
      <c r="AI18">
        <v>4</v>
      </c>
      <c r="AJ18">
        <v>0</v>
      </c>
      <c r="AK18">
        <v>3</v>
      </c>
      <c r="AL18" t="s">
        <v>141</v>
      </c>
      <c r="AM18" t="s">
        <v>142</v>
      </c>
      <c r="AN18" t="s">
        <v>143</v>
      </c>
      <c r="AO18" t="s">
        <v>427</v>
      </c>
      <c r="AP18" t="s">
        <v>428</v>
      </c>
      <c r="AQ18" t="s">
        <v>74</v>
      </c>
      <c r="AR18" t="s">
        <v>429</v>
      </c>
      <c r="AS18" t="s">
        <v>430</v>
      </c>
      <c r="AT18" t="s">
        <v>431</v>
      </c>
      <c r="AU18">
        <v>2007</v>
      </c>
      <c r="AV18">
        <v>112</v>
      </c>
      <c r="AW18" t="s">
        <v>432</v>
      </c>
      <c r="AX18" t="s">
        <v>74</v>
      </c>
      <c r="AY18" t="s">
        <v>74</v>
      </c>
      <c r="AZ18" t="s">
        <v>74</v>
      </c>
      <c r="BA18" t="s">
        <v>74</v>
      </c>
      <c r="BB18" t="s">
        <v>74</v>
      </c>
      <c r="BC18" t="s">
        <v>74</v>
      </c>
      <c r="BD18" t="s">
        <v>450</v>
      </c>
      <c r="BE18" t="s">
        <v>451</v>
      </c>
      <c r="BF18" t="str">
        <f>HYPERLINK("http://dx.doi.org/10.1029/2007Jd008928","http://dx.doi.org/10.1029/2007Jd008928")</f>
        <v>http://dx.doi.org/10.1029/2007Jd008928</v>
      </c>
      <c r="BG18" t="s">
        <v>74</v>
      </c>
      <c r="BH18" t="s">
        <v>74</v>
      </c>
      <c r="BI18">
        <v>9</v>
      </c>
      <c r="BJ18" t="s">
        <v>435</v>
      </c>
      <c r="BK18" t="s">
        <v>98</v>
      </c>
      <c r="BL18" t="s">
        <v>435</v>
      </c>
      <c r="BM18" t="s">
        <v>436</v>
      </c>
      <c r="BN18" t="s">
        <v>74</v>
      </c>
      <c r="BO18" t="s">
        <v>154</v>
      </c>
      <c r="BP18" t="s">
        <v>74</v>
      </c>
      <c r="BQ18" t="s">
        <v>74</v>
      </c>
      <c r="BR18" t="s">
        <v>101</v>
      </c>
      <c r="BS18" t="s">
        <v>452</v>
      </c>
      <c r="BT18" t="str">
        <f>HYPERLINK("https%3A%2F%2Fwww.webofscience.com%2Fwos%2Fwoscc%2Ffull-record%2FWOS:000249029000007","View Full Record in Web of Science")</f>
        <v>View Full Record in Web of Science</v>
      </c>
    </row>
    <row r="19" spans="1:72" x14ac:dyDescent="0.15">
      <c r="A19" t="s">
        <v>72</v>
      </c>
      <c r="B19" t="s">
        <v>453</v>
      </c>
      <c r="C19" t="s">
        <v>74</v>
      </c>
      <c r="D19" t="s">
        <v>74</v>
      </c>
      <c r="E19" t="s">
        <v>74</v>
      </c>
      <c r="F19" t="s">
        <v>454</v>
      </c>
      <c r="G19" t="s">
        <v>74</v>
      </c>
      <c r="H19" t="s">
        <v>74</v>
      </c>
      <c r="I19" t="s">
        <v>455</v>
      </c>
      <c r="J19" t="s">
        <v>416</v>
      </c>
      <c r="K19" t="s">
        <v>74</v>
      </c>
      <c r="L19" t="s">
        <v>74</v>
      </c>
      <c r="M19" t="s">
        <v>78</v>
      </c>
      <c r="N19" t="s">
        <v>248</v>
      </c>
      <c r="O19" t="s">
        <v>74</v>
      </c>
      <c r="P19" t="s">
        <v>74</v>
      </c>
      <c r="Q19" t="s">
        <v>74</v>
      </c>
      <c r="R19" t="s">
        <v>74</v>
      </c>
      <c r="S19" t="s">
        <v>74</v>
      </c>
      <c r="T19" t="s">
        <v>74</v>
      </c>
      <c r="U19" t="s">
        <v>456</v>
      </c>
      <c r="V19" t="s">
        <v>457</v>
      </c>
      <c r="W19" t="s">
        <v>458</v>
      </c>
      <c r="X19" t="s">
        <v>459</v>
      </c>
      <c r="Y19" t="s">
        <v>460</v>
      </c>
      <c r="Z19" t="s">
        <v>461</v>
      </c>
      <c r="AA19" t="s">
        <v>462</v>
      </c>
      <c r="AB19" t="s">
        <v>463</v>
      </c>
      <c r="AC19" t="s">
        <v>74</v>
      </c>
      <c r="AD19" t="s">
        <v>74</v>
      </c>
      <c r="AE19" t="s">
        <v>74</v>
      </c>
      <c r="AF19" t="s">
        <v>74</v>
      </c>
      <c r="AG19">
        <v>115</v>
      </c>
      <c r="AH19">
        <v>156</v>
      </c>
      <c r="AI19">
        <v>168</v>
      </c>
      <c r="AJ19">
        <v>2</v>
      </c>
      <c r="AK19">
        <v>72</v>
      </c>
      <c r="AL19" t="s">
        <v>141</v>
      </c>
      <c r="AM19" t="s">
        <v>142</v>
      </c>
      <c r="AN19" t="s">
        <v>143</v>
      </c>
      <c r="AO19" t="s">
        <v>427</v>
      </c>
      <c r="AP19" t="s">
        <v>428</v>
      </c>
      <c r="AQ19" t="s">
        <v>74</v>
      </c>
      <c r="AR19" t="s">
        <v>429</v>
      </c>
      <c r="AS19" t="s">
        <v>430</v>
      </c>
      <c r="AT19" t="s">
        <v>431</v>
      </c>
      <c r="AU19">
        <v>2007</v>
      </c>
      <c r="AV19">
        <v>112</v>
      </c>
      <c r="AW19" t="s">
        <v>432</v>
      </c>
      <c r="AX19" t="s">
        <v>74</v>
      </c>
      <c r="AY19" t="s">
        <v>74</v>
      </c>
      <c r="AZ19" t="s">
        <v>74</v>
      </c>
      <c r="BA19" t="s">
        <v>74</v>
      </c>
      <c r="BB19" t="s">
        <v>74</v>
      </c>
      <c r="BC19" t="s">
        <v>74</v>
      </c>
      <c r="BD19" t="s">
        <v>464</v>
      </c>
      <c r="BE19" t="s">
        <v>465</v>
      </c>
      <c r="BF19" t="str">
        <f>HYPERLINK("http://dx.doi.org/10.1029/2007JD008432","http://dx.doi.org/10.1029/2007JD008432")</f>
        <v>http://dx.doi.org/10.1029/2007JD008432</v>
      </c>
      <c r="BG19" t="s">
        <v>74</v>
      </c>
      <c r="BH19" t="s">
        <v>74</v>
      </c>
      <c r="BI19">
        <v>28</v>
      </c>
      <c r="BJ19" t="s">
        <v>435</v>
      </c>
      <c r="BK19" t="s">
        <v>98</v>
      </c>
      <c r="BL19" t="s">
        <v>435</v>
      </c>
      <c r="BM19" t="s">
        <v>436</v>
      </c>
      <c r="BN19" t="s">
        <v>74</v>
      </c>
      <c r="BO19" t="s">
        <v>74</v>
      </c>
      <c r="BP19" t="s">
        <v>74</v>
      </c>
      <c r="BQ19" t="s">
        <v>74</v>
      </c>
      <c r="BR19" t="s">
        <v>101</v>
      </c>
      <c r="BS19" t="s">
        <v>466</v>
      </c>
      <c r="BT19" t="str">
        <f>HYPERLINK("https%3A%2F%2Fwww.webofscience.com%2Fwos%2Fwoscc%2Ffull-record%2FWOS:000249029000006","View Full Record in Web of Science")</f>
        <v>View Full Record in Web of Science</v>
      </c>
    </row>
    <row r="20" spans="1:72" x14ac:dyDescent="0.15">
      <c r="A20" t="s">
        <v>72</v>
      </c>
      <c r="B20" t="s">
        <v>467</v>
      </c>
      <c r="C20" t="s">
        <v>74</v>
      </c>
      <c r="D20" t="s">
        <v>74</v>
      </c>
      <c r="E20" t="s">
        <v>74</v>
      </c>
      <c r="F20" t="s">
        <v>468</v>
      </c>
      <c r="G20" t="s">
        <v>74</v>
      </c>
      <c r="H20" t="s">
        <v>74</v>
      </c>
      <c r="I20" t="s">
        <v>469</v>
      </c>
      <c r="J20" t="s">
        <v>470</v>
      </c>
      <c r="K20" t="s">
        <v>74</v>
      </c>
      <c r="L20" t="s">
        <v>74</v>
      </c>
      <c r="M20" t="s">
        <v>78</v>
      </c>
      <c r="N20" t="s">
        <v>79</v>
      </c>
      <c r="O20" t="s">
        <v>74</v>
      </c>
      <c r="P20" t="s">
        <v>74</v>
      </c>
      <c r="Q20" t="s">
        <v>74</v>
      </c>
      <c r="R20" t="s">
        <v>74</v>
      </c>
      <c r="S20" t="s">
        <v>74</v>
      </c>
      <c r="T20" t="s">
        <v>471</v>
      </c>
      <c r="U20" t="s">
        <v>472</v>
      </c>
      <c r="V20" t="s">
        <v>473</v>
      </c>
      <c r="W20" t="s">
        <v>474</v>
      </c>
      <c r="X20" t="s">
        <v>475</v>
      </c>
      <c r="Y20" t="s">
        <v>476</v>
      </c>
      <c r="Z20" t="s">
        <v>477</v>
      </c>
      <c r="AA20" t="s">
        <v>478</v>
      </c>
      <c r="AB20" t="s">
        <v>479</v>
      </c>
      <c r="AC20" t="s">
        <v>480</v>
      </c>
      <c r="AD20" t="s">
        <v>140</v>
      </c>
      <c r="AE20" t="s">
        <v>74</v>
      </c>
      <c r="AF20" t="s">
        <v>74</v>
      </c>
      <c r="AG20">
        <v>53</v>
      </c>
      <c r="AH20">
        <v>259</v>
      </c>
      <c r="AI20">
        <v>289</v>
      </c>
      <c r="AJ20">
        <v>3</v>
      </c>
      <c r="AK20">
        <v>86</v>
      </c>
      <c r="AL20" t="s">
        <v>481</v>
      </c>
      <c r="AM20" t="s">
        <v>142</v>
      </c>
      <c r="AN20" t="s">
        <v>482</v>
      </c>
      <c r="AO20" t="s">
        <v>483</v>
      </c>
      <c r="AP20" t="s">
        <v>74</v>
      </c>
      <c r="AQ20" t="s">
        <v>74</v>
      </c>
      <c r="AR20" t="s">
        <v>484</v>
      </c>
      <c r="AS20" t="s">
        <v>485</v>
      </c>
      <c r="AT20" t="s">
        <v>431</v>
      </c>
      <c r="AU20">
        <v>2007</v>
      </c>
      <c r="AV20">
        <v>104</v>
      </c>
      <c r="AW20">
        <v>34</v>
      </c>
      <c r="AX20" t="s">
        <v>74</v>
      </c>
      <c r="AY20" t="s">
        <v>74</v>
      </c>
      <c r="AZ20" t="s">
        <v>74</v>
      </c>
      <c r="BA20" t="s">
        <v>74</v>
      </c>
      <c r="BB20">
        <v>13705</v>
      </c>
      <c r="BC20">
        <v>13710</v>
      </c>
      <c r="BD20" t="s">
        <v>74</v>
      </c>
      <c r="BE20" t="s">
        <v>486</v>
      </c>
      <c r="BF20" t="str">
        <f>HYPERLINK("http://dx.doi.org/10.1073/pnas.0701121104","http://dx.doi.org/10.1073/pnas.0701121104")</f>
        <v>http://dx.doi.org/10.1073/pnas.0701121104</v>
      </c>
      <c r="BG20" t="s">
        <v>74</v>
      </c>
      <c r="BH20" t="s">
        <v>74</v>
      </c>
      <c r="BI20">
        <v>6</v>
      </c>
      <c r="BJ20" t="s">
        <v>241</v>
      </c>
      <c r="BK20" t="s">
        <v>98</v>
      </c>
      <c r="BL20" t="s">
        <v>242</v>
      </c>
      <c r="BM20" t="s">
        <v>487</v>
      </c>
      <c r="BN20">
        <v>17693555</v>
      </c>
      <c r="BO20" t="s">
        <v>198</v>
      </c>
      <c r="BP20" t="s">
        <v>74</v>
      </c>
      <c r="BQ20" t="s">
        <v>74</v>
      </c>
      <c r="BR20" t="s">
        <v>101</v>
      </c>
      <c r="BS20" t="s">
        <v>488</v>
      </c>
      <c r="BT20" t="str">
        <f>HYPERLINK("https%3A%2F%2Fwww.webofscience.com%2Fwos%2Fwoscc%2Ffull-record%2FWOS:000249064700034","View Full Record in Web of Science")</f>
        <v>View Full Record in Web of Science</v>
      </c>
    </row>
    <row r="21" spans="1:72" x14ac:dyDescent="0.15">
      <c r="A21" t="s">
        <v>72</v>
      </c>
      <c r="B21" t="s">
        <v>489</v>
      </c>
      <c r="C21" t="s">
        <v>74</v>
      </c>
      <c r="D21" t="s">
        <v>74</v>
      </c>
      <c r="E21" t="s">
        <v>74</v>
      </c>
      <c r="F21" t="s">
        <v>490</v>
      </c>
      <c r="G21" t="s">
        <v>74</v>
      </c>
      <c r="H21" t="s">
        <v>74</v>
      </c>
      <c r="I21" t="s">
        <v>491</v>
      </c>
      <c r="J21" t="s">
        <v>492</v>
      </c>
      <c r="K21" t="s">
        <v>74</v>
      </c>
      <c r="L21" t="s">
        <v>74</v>
      </c>
      <c r="M21" t="s">
        <v>78</v>
      </c>
      <c r="N21" t="s">
        <v>79</v>
      </c>
      <c r="O21" t="s">
        <v>74</v>
      </c>
      <c r="P21" t="s">
        <v>74</v>
      </c>
      <c r="Q21" t="s">
        <v>74</v>
      </c>
      <c r="R21" t="s">
        <v>74</v>
      </c>
      <c r="S21" t="s">
        <v>74</v>
      </c>
      <c r="T21" t="s">
        <v>493</v>
      </c>
      <c r="U21" t="s">
        <v>494</v>
      </c>
      <c r="V21" t="s">
        <v>495</v>
      </c>
      <c r="W21" t="s">
        <v>496</v>
      </c>
      <c r="X21" t="s">
        <v>497</v>
      </c>
      <c r="Y21" t="s">
        <v>498</v>
      </c>
      <c r="Z21" t="s">
        <v>499</v>
      </c>
      <c r="AA21" t="s">
        <v>74</v>
      </c>
      <c r="AB21" t="s">
        <v>74</v>
      </c>
      <c r="AC21" t="s">
        <v>74</v>
      </c>
      <c r="AD21" t="s">
        <v>74</v>
      </c>
      <c r="AE21" t="s">
        <v>74</v>
      </c>
      <c r="AF21" t="s">
        <v>74</v>
      </c>
      <c r="AG21">
        <v>22</v>
      </c>
      <c r="AH21">
        <v>4</v>
      </c>
      <c r="AI21">
        <v>4</v>
      </c>
      <c r="AJ21">
        <v>0</v>
      </c>
      <c r="AK21">
        <v>2</v>
      </c>
      <c r="AL21" t="s">
        <v>500</v>
      </c>
      <c r="AM21" t="s">
        <v>501</v>
      </c>
      <c r="AN21" t="s">
        <v>502</v>
      </c>
      <c r="AO21" t="s">
        <v>503</v>
      </c>
      <c r="AP21" t="s">
        <v>504</v>
      </c>
      <c r="AQ21" t="s">
        <v>74</v>
      </c>
      <c r="AR21" t="s">
        <v>492</v>
      </c>
      <c r="AS21" t="s">
        <v>505</v>
      </c>
      <c r="AT21" t="s">
        <v>506</v>
      </c>
      <c r="AU21">
        <v>2007</v>
      </c>
      <c r="AV21" t="s">
        <v>74</v>
      </c>
      <c r="AW21">
        <v>1555</v>
      </c>
      <c r="AX21" t="s">
        <v>74</v>
      </c>
      <c r="AY21" t="s">
        <v>74</v>
      </c>
      <c r="AZ21" t="s">
        <v>74</v>
      </c>
      <c r="BA21" t="s">
        <v>74</v>
      </c>
      <c r="BB21">
        <v>53</v>
      </c>
      <c r="BC21">
        <v>68</v>
      </c>
      <c r="BD21" t="s">
        <v>74</v>
      </c>
      <c r="BE21" t="s">
        <v>74</v>
      </c>
      <c r="BF21" t="s">
        <v>74</v>
      </c>
      <c r="BG21" t="s">
        <v>74</v>
      </c>
      <c r="BH21" t="s">
        <v>74</v>
      </c>
      <c r="BI21">
        <v>16</v>
      </c>
      <c r="BJ21" t="s">
        <v>507</v>
      </c>
      <c r="BK21" t="s">
        <v>98</v>
      </c>
      <c r="BL21" t="s">
        <v>507</v>
      </c>
      <c r="BM21" t="s">
        <v>508</v>
      </c>
      <c r="BN21" t="s">
        <v>74</v>
      </c>
      <c r="BO21" t="s">
        <v>74</v>
      </c>
      <c r="BP21" t="s">
        <v>74</v>
      </c>
      <c r="BQ21" t="s">
        <v>74</v>
      </c>
      <c r="BR21" t="s">
        <v>101</v>
      </c>
      <c r="BS21" t="s">
        <v>509</v>
      </c>
      <c r="BT21" t="str">
        <f>HYPERLINK("https%3A%2F%2Fwww.webofscience.com%2Fwos%2Fwoscc%2Ffull-record%2FWOS:000248908600004","View Full Record in Web of Science")</f>
        <v>View Full Record in Web of Science</v>
      </c>
    </row>
    <row r="22" spans="1:72" x14ac:dyDescent="0.15">
      <c r="A22" t="s">
        <v>72</v>
      </c>
      <c r="B22" t="s">
        <v>510</v>
      </c>
      <c r="C22" t="s">
        <v>74</v>
      </c>
      <c r="D22" t="s">
        <v>74</v>
      </c>
      <c r="E22" t="s">
        <v>74</v>
      </c>
      <c r="F22" t="s">
        <v>511</v>
      </c>
      <c r="G22" t="s">
        <v>74</v>
      </c>
      <c r="H22" t="s">
        <v>74</v>
      </c>
      <c r="I22" t="s">
        <v>512</v>
      </c>
      <c r="J22" t="s">
        <v>513</v>
      </c>
      <c r="K22" t="s">
        <v>74</v>
      </c>
      <c r="L22" t="s">
        <v>74</v>
      </c>
      <c r="M22" t="s">
        <v>78</v>
      </c>
      <c r="N22" t="s">
        <v>514</v>
      </c>
      <c r="O22" t="s">
        <v>515</v>
      </c>
      <c r="P22" t="s">
        <v>516</v>
      </c>
      <c r="Q22" t="s">
        <v>517</v>
      </c>
      <c r="R22" t="s">
        <v>74</v>
      </c>
      <c r="S22" t="s">
        <v>74</v>
      </c>
      <c r="T22" t="s">
        <v>518</v>
      </c>
      <c r="U22" t="s">
        <v>519</v>
      </c>
      <c r="V22" t="s">
        <v>520</v>
      </c>
      <c r="W22" t="s">
        <v>521</v>
      </c>
      <c r="X22" t="s">
        <v>522</v>
      </c>
      <c r="Y22" t="s">
        <v>523</v>
      </c>
      <c r="Z22" t="s">
        <v>524</v>
      </c>
      <c r="AA22" t="s">
        <v>525</v>
      </c>
      <c r="AB22" t="s">
        <v>526</v>
      </c>
      <c r="AC22" t="s">
        <v>74</v>
      </c>
      <c r="AD22" t="s">
        <v>74</v>
      </c>
      <c r="AE22" t="s">
        <v>74</v>
      </c>
      <c r="AF22" t="s">
        <v>74</v>
      </c>
      <c r="AG22">
        <v>67</v>
      </c>
      <c r="AH22">
        <v>62</v>
      </c>
      <c r="AI22">
        <v>67</v>
      </c>
      <c r="AJ22">
        <v>1</v>
      </c>
      <c r="AK22">
        <v>30</v>
      </c>
      <c r="AL22" t="s">
        <v>272</v>
      </c>
      <c r="AM22" t="s">
        <v>273</v>
      </c>
      <c r="AN22" t="s">
        <v>274</v>
      </c>
      <c r="AO22" t="s">
        <v>527</v>
      </c>
      <c r="AP22" t="s">
        <v>528</v>
      </c>
      <c r="AQ22" t="s">
        <v>74</v>
      </c>
      <c r="AR22" t="s">
        <v>529</v>
      </c>
      <c r="AS22" t="s">
        <v>530</v>
      </c>
      <c r="AT22" t="s">
        <v>531</v>
      </c>
      <c r="AU22">
        <v>2007</v>
      </c>
      <c r="AV22">
        <v>148</v>
      </c>
      <c r="AW22">
        <v>1</v>
      </c>
      <c r="AX22" t="s">
        <v>74</v>
      </c>
      <c r="AY22" t="s">
        <v>74</v>
      </c>
      <c r="AZ22" t="s">
        <v>532</v>
      </c>
      <c r="BA22" t="s">
        <v>74</v>
      </c>
      <c r="BB22">
        <v>43</v>
      </c>
      <c r="BC22">
        <v>57</v>
      </c>
      <c r="BD22" t="s">
        <v>74</v>
      </c>
      <c r="BE22" t="s">
        <v>533</v>
      </c>
      <c r="BF22" t="str">
        <f>HYPERLINK("http://dx.doi.org/10.1016/j.vetpar.2007.05.009","http://dx.doi.org/10.1016/j.vetpar.2007.05.009")</f>
        <v>http://dx.doi.org/10.1016/j.vetpar.2007.05.009</v>
      </c>
      <c r="BG22" t="s">
        <v>74</v>
      </c>
      <c r="BH22" t="s">
        <v>74</v>
      </c>
      <c r="BI22">
        <v>15</v>
      </c>
      <c r="BJ22" t="s">
        <v>534</v>
      </c>
      <c r="BK22" t="s">
        <v>535</v>
      </c>
      <c r="BL22" t="s">
        <v>534</v>
      </c>
      <c r="BM22" t="s">
        <v>536</v>
      </c>
      <c r="BN22">
        <v>17597303</v>
      </c>
      <c r="BO22" t="s">
        <v>74</v>
      </c>
      <c r="BP22" t="s">
        <v>74</v>
      </c>
      <c r="BQ22" t="s">
        <v>74</v>
      </c>
      <c r="BR22" t="s">
        <v>101</v>
      </c>
      <c r="BS22" t="s">
        <v>537</v>
      </c>
      <c r="BT22" t="str">
        <f>HYPERLINK("https%3A%2F%2Fwww.webofscience.com%2Fwos%2Fwoscc%2Ffull-record%2FWOS:000248464800006","View Full Record in Web of Science")</f>
        <v>View Full Record in Web of Science</v>
      </c>
    </row>
    <row r="23" spans="1:72" x14ac:dyDescent="0.15">
      <c r="A23" t="s">
        <v>72</v>
      </c>
      <c r="B23" t="s">
        <v>538</v>
      </c>
      <c r="C23" t="s">
        <v>74</v>
      </c>
      <c r="D23" t="s">
        <v>74</v>
      </c>
      <c r="E23" t="s">
        <v>74</v>
      </c>
      <c r="F23" t="s">
        <v>539</v>
      </c>
      <c r="G23" t="s">
        <v>74</v>
      </c>
      <c r="H23" t="s">
        <v>74</v>
      </c>
      <c r="I23" t="s">
        <v>540</v>
      </c>
      <c r="J23" t="s">
        <v>182</v>
      </c>
      <c r="K23" t="s">
        <v>74</v>
      </c>
      <c r="L23" t="s">
        <v>74</v>
      </c>
      <c r="M23" t="s">
        <v>78</v>
      </c>
      <c r="N23" t="s">
        <v>79</v>
      </c>
      <c r="O23" t="s">
        <v>74</v>
      </c>
      <c r="P23" t="s">
        <v>74</v>
      </c>
      <c r="Q23" t="s">
        <v>74</v>
      </c>
      <c r="R23" t="s">
        <v>74</v>
      </c>
      <c r="S23" t="s">
        <v>74</v>
      </c>
      <c r="T23" t="s">
        <v>74</v>
      </c>
      <c r="U23" t="s">
        <v>541</v>
      </c>
      <c r="V23" t="s">
        <v>542</v>
      </c>
      <c r="W23" t="s">
        <v>543</v>
      </c>
      <c r="X23" t="s">
        <v>544</v>
      </c>
      <c r="Y23" t="s">
        <v>545</v>
      </c>
      <c r="Z23" t="s">
        <v>546</v>
      </c>
      <c r="AA23" t="s">
        <v>547</v>
      </c>
      <c r="AB23" t="s">
        <v>548</v>
      </c>
      <c r="AC23" t="s">
        <v>74</v>
      </c>
      <c r="AD23" t="s">
        <v>74</v>
      </c>
      <c r="AE23" t="s">
        <v>74</v>
      </c>
      <c r="AF23" t="s">
        <v>74</v>
      </c>
      <c r="AG23">
        <v>48</v>
      </c>
      <c r="AH23">
        <v>84</v>
      </c>
      <c r="AI23">
        <v>98</v>
      </c>
      <c r="AJ23">
        <v>1</v>
      </c>
      <c r="AK23">
        <v>23</v>
      </c>
      <c r="AL23" t="s">
        <v>141</v>
      </c>
      <c r="AM23" t="s">
        <v>142</v>
      </c>
      <c r="AN23" t="s">
        <v>143</v>
      </c>
      <c r="AO23" t="s">
        <v>189</v>
      </c>
      <c r="AP23" t="s">
        <v>549</v>
      </c>
      <c r="AQ23" t="s">
        <v>74</v>
      </c>
      <c r="AR23" t="s">
        <v>190</v>
      </c>
      <c r="AS23" t="s">
        <v>191</v>
      </c>
      <c r="AT23" t="s">
        <v>550</v>
      </c>
      <c r="AU23">
        <v>2007</v>
      </c>
      <c r="AV23">
        <v>21</v>
      </c>
      <c r="AW23">
        <v>3</v>
      </c>
      <c r="AX23" t="s">
        <v>74</v>
      </c>
      <c r="AY23" t="s">
        <v>74</v>
      </c>
      <c r="AZ23" t="s">
        <v>74</v>
      </c>
      <c r="BA23" t="s">
        <v>74</v>
      </c>
      <c r="BB23" t="s">
        <v>74</v>
      </c>
      <c r="BC23" t="s">
        <v>74</v>
      </c>
      <c r="BD23" t="s">
        <v>551</v>
      </c>
      <c r="BE23" t="s">
        <v>552</v>
      </c>
      <c r="BF23" t="str">
        <f>HYPERLINK("http://dx.doi.org/10.1029/2007GB002991","http://dx.doi.org/10.1029/2007GB002991")</f>
        <v>http://dx.doi.org/10.1029/2007GB002991</v>
      </c>
      <c r="BG23" t="s">
        <v>74</v>
      </c>
      <c r="BH23" t="s">
        <v>74</v>
      </c>
      <c r="BI23">
        <v>16</v>
      </c>
      <c r="BJ23" t="s">
        <v>195</v>
      </c>
      <c r="BK23" t="s">
        <v>98</v>
      </c>
      <c r="BL23" t="s">
        <v>196</v>
      </c>
      <c r="BM23" t="s">
        <v>553</v>
      </c>
      <c r="BN23" t="s">
        <v>74</v>
      </c>
      <c r="BO23" t="s">
        <v>198</v>
      </c>
      <c r="BP23" t="s">
        <v>74</v>
      </c>
      <c r="BQ23" t="s">
        <v>74</v>
      </c>
      <c r="BR23" t="s">
        <v>101</v>
      </c>
      <c r="BS23" t="s">
        <v>554</v>
      </c>
      <c r="BT23" t="str">
        <f>HYPERLINK("https%3A%2F%2Fwww.webofscience.com%2Fwos%2Fwoscc%2Ffull-record%2FWOS:000248897200001","View Full Record in Web of Science")</f>
        <v>View Full Record in Web of Science</v>
      </c>
    </row>
    <row r="24" spans="1:72" x14ac:dyDescent="0.15">
      <c r="A24" t="s">
        <v>72</v>
      </c>
      <c r="B24" t="s">
        <v>555</v>
      </c>
      <c r="C24" t="s">
        <v>74</v>
      </c>
      <c r="D24" t="s">
        <v>74</v>
      </c>
      <c r="E24" t="s">
        <v>74</v>
      </c>
      <c r="F24" t="s">
        <v>556</v>
      </c>
      <c r="G24" t="s">
        <v>74</v>
      </c>
      <c r="H24" t="s">
        <v>74</v>
      </c>
      <c r="I24" t="s">
        <v>557</v>
      </c>
      <c r="J24" t="s">
        <v>558</v>
      </c>
      <c r="K24" t="s">
        <v>74</v>
      </c>
      <c r="L24" t="s">
        <v>74</v>
      </c>
      <c r="M24" t="s">
        <v>78</v>
      </c>
      <c r="N24" t="s">
        <v>79</v>
      </c>
      <c r="O24" t="s">
        <v>74</v>
      </c>
      <c r="P24" t="s">
        <v>74</v>
      </c>
      <c r="Q24" t="s">
        <v>74</v>
      </c>
      <c r="R24" t="s">
        <v>74</v>
      </c>
      <c r="S24" t="s">
        <v>74</v>
      </c>
      <c r="T24" t="s">
        <v>74</v>
      </c>
      <c r="U24" t="s">
        <v>559</v>
      </c>
      <c r="V24" t="s">
        <v>560</v>
      </c>
      <c r="W24" t="s">
        <v>561</v>
      </c>
      <c r="X24" t="s">
        <v>562</v>
      </c>
      <c r="Y24" t="s">
        <v>563</v>
      </c>
      <c r="Z24" t="s">
        <v>564</v>
      </c>
      <c r="AA24" t="s">
        <v>565</v>
      </c>
      <c r="AB24" t="s">
        <v>566</v>
      </c>
      <c r="AC24" t="s">
        <v>74</v>
      </c>
      <c r="AD24" t="s">
        <v>74</v>
      </c>
      <c r="AE24" t="s">
        <v>74</v>
      </c>
      <c r="AF24" t="s">
        <v>74</v>
      </c>
      <c r="AG24">
        <v>37</v>
      </c>
      <c r="AH24">
        <v>172</v>
      </c>
      <c r="AI24">
        <v>192</v>
      </c>
      <c r="AJ24">
        <v>0</v>
      </c>
      <c r="AK24">
        <v>43</v>
      </c>
      <c r="AL24" t="s">
        <v>567</v>
      </c>
      <c r="AM24" t="s">
        <v>568</v>
      </c>
      <c r="AN24" t="s">
        <v>569</v>
      </c>
      <c r="AO24" t="s">
        <v>570</v>
      </c>
      <c r="AP24" t="s">
        <v>571</v>
      </c>
      <c r="AQ24" t="s">
        <v>74</v>
      </c>
      <c r="AR24" t="s">
        <v>572</v>
      </c>
      <c r="AS24" t="s">
        <v>573</v>
      </c>
      <c r="AT24" t="s">
        <v>574</v>
      </c>
      <c r="AU24">
        <v>2007</v>
      </c>
      <c r="AV24">
        <v>20</v>
      </c>
      <c r="AW24">
        <v>16</v>
      </c>
      <c r="AX24" t="s">
        <v>74</v>
      </c>
      <c r="AY24" t="s">
        <v>74</v>
      </c>
      <c r="AZ24" t="s">
        <v>74</v>
      </c>
      <c r="BA24" t="s">
        <v>74</v>
      </c>
      <c r="BB24">
        <v>4096</v>
      </c>
      <c r="BC24">
        <v>4117</v>
      </c>
      <c r="BD24" t="s">
        <v>74</v>
      </c>
      <c r="BE24" t="s">
        <v>575</v>
      </c>
      <c r="BF24" t="str">
        <f>HYPERLINK("http://dx.doi.org/10.1175/JCLI4236.1","http://dx.doi.org/10.1175/JCLI4236.1")</f>
        <v>http://dx.doi.org/10.1175/JCLI4236.1</v>
      </c>
      <c r="BG24" t="s">
        <v>74</v>
      </c>
      <c r="BH24" t="s">
        <v>74</v>
      </c>
      <c r="BI24">
        <v>22</v>
      </c>
      <c r="BJ24" t="s">
        <v>435</v>
      </c>
      <c r="BK24" t="s">
        <v>98</v>
      </c>
      <c r="BL24" t="s">
        <v>435</v>
      </c>
      <c r="BM24" t="s">
        <v>576</v>
      </c>
      <c r="BN24" t="s">
        <v>74</v>
      </c>
      <c r="BO24" t="s">
        <v>577</v>
      </c>
      <c r="BP24" t="s">
        <v>74</v>
      </c>
      <c r="BQ24" t="s">
        <v>74</v>
      </c>
      <c r="BR24" t="s">
        <v>101</v>
      </c>
      <c r="BS24" t="s">
        <v>578</v>
      </c>
      <c r="BT24" t="str">
        <f>HYPERLINK("https%3A%2F%2Fwww.webofscience.com%2Fwos%2Fwoscc%2Ffull-record%2FWOS:000248845700002","View Full Record in Web of Science")</f>
        <v>View Full Record in Web of Science</v>
      </c>
    </row>
    <row r="25" spans="1:72" x14ac:dyDescent="0.15">
      <c r="A25" t="s">
        <v>72</v>
      </c>
      <c r="B25" t="s">
        <v>579</v>
      </c>
      <c r="C25" t="s">
        <v>74</v>
      </c>
      <c r="D25" t="s">
        <v>74</v>
      </c>
      <c r="E25" t="s">
        <v>74</v>
      </c>
      <c r="F25" t="s">
        <v>580</v>
      </c>
      <c r="G25" t="s">
        <v>74</v>
      </c>
      <c r="H25" t="s">
        <v>74</v>
      </c>
      <c r="I25" t="s">
        <v>581</v>
      </c>
      <c r="J25" t="s">
        <v>582</v>
      </c>
      <c r="K25" t="s">
        <v>74</v>
      </c>
      <c r="L25" t="s">
        <v>74</v>
      </c>
      <c r="M25" t="s">
        <v>78</v>
      </c>
      <c r="N25" t="s">
        <v>79</v>
      </c>
      <c r="O25" t="s">
        <v>74</v>
      </c>
      <c r="P25" t="s">
        <v>74</v>
      </c>
      <c r="Q25" t="s">
        <v>74</v>
      </c>
      <c r="R25" t="s">
        <v>74</v>
      </c>
      <c r="S25" t="s">
        <v>74</v>
      </c>
      <c r="T25" t="s">
        <v>583</v>
      </c>
      <c r="U25" t="s">
        <v>584</v>
      </c>
      <c r="V25" t="s">
        <v>585</v>
      </c>
      <c r="W25" t="s">
        <v>586</v>
      </c>
      <c r="X25" t="s">
        <v>587</v>
      </c>
      <c r="Y25" t="s">
        <v>588</v>
      </c>
      <c r="Z25" t="s">
        <v>589</v>
      </c>
      <c r="AA25" t="s">
        <v>590</v>
      </c>
      <c r="AB25" t="s">
        <v>591</v>
      </c>
      <c r="AC25" t="s">
        <v>74</v>
      </c>
      <c r="AD25" t="s">
        <v>74</v>
      </c>
      <c r="AE25" t="s">
        <v>74</v>
      </c>
      <c r="AF25" t="s">
        <v>74</v>
      </c>
      <c r="AG25">
        <v>43</v>
      </c>
      <c r="AH25">
        <v>68</v>
      </c>
      <c r="AI25">
        <v>73</v>
      </c>
      <c r="AJ25">
        <v>0</v>
      </c>
      <c r="AK25">
        <v>19</v>
      </c>
      <c r="AL25" t="s">
        <v>592</v>
      </c>
      <c r="AM25" t="s">
        <v>273</v>
      </c>
      <c r="AN25" t="s">
        <v>593</v>
      </c>
      <c r="AO25" t="s">
        <v>594</v>
      </c>
      <c r="AP25" t="s">
        <v>74</v>
      </c>
      <c r="AQ25" t="s">
        <v>74</v>
      </c>
      <c r="AR25" t="s">
        <v>595</v>
      </c>
      <c r="AS25" t="s">
        <v>596</v>
      </c>
      <c r="AT25" t="s">
        <v>574</v>
      </c>
      <c r="AU25">
        <v>2007</v>
      </c>
      <c r="AV25">
        <v>242</v>
      </c>
      <c r="AW25">
        <v>4</v>
      </c>
      <c r="AX25" t="s">
        <v>74</v>
      </c>
      <c r="AY25" t="s">
        <v>74</v>
      </c>
      <c r="AZ25" t="s">
        <v>74</v>
      </c>
      <c r="BA25" t="s">
        <v>74</v>
      </c>
      <c r="BB25">
        <v>261</v>
      </c>
      <c r="BC25">
        <v>269</v>
      </c>
      <c r="BD25" t="s">
        <v>74</v>
      </c>
      <c r="BE25" t="s">
        <v>597</v>
      </c>
      <c r="BF25" t="str">
        <f>HYPERLINK("http://dx.doi.org/10.1016/j.margeo.2007.04.002","http://dx.doi.org/10.1016/j.margeo.2007.04.002")</f>
        <v>http://dx.doi.org/10.1016/j.margeo.2007.04.002</v>
      </c>
      <c r="BG25" t="s">
        <v>74</v>
      </c>
      <c r="BH25" t="s">
        <v>74</v>
      </c>
      <c r="BI25">
        <v>9</v>
      </c>
      <c r="BJ25" t="s">
        <v>598</v>
      </c>
      <c r="BK25" t="s">
        <v>98</v>
      </c>
      <c r="BL25" t="s">
        <v>599</v>
      </c>
      <c r="BM25" t="s">
        <v>600</v>
      </c>
      <c r="BN25" t="s">
        <v>74</v>
      </c>
      <c r="BO25" t="s">
        <v>74</v>
      </c>
      <c r="BP25" t="s">
        <v>74</v>
      </c>
      <c r="BQ25" t="s">
        <v>74</v>
      </c>
      <c r="BR25" t="s">
        <v>101</v>
      </c>
      <c r="BS25" t="s">
        <v>601</v>
      </c>
      <c r="BT25" t="str">
        <f>HYPERLINK("https%3A%2F%2Fwww.webofscience.com%2Fwos%2Fwoscc%2Ffull-record%2FWOS:000248982000004","View Full Record in Web of Science")</f>
        <v>View Full Record in Web of Science</v>
      </c>
    </row>
    <row r="26" spans="1:72" x14ac:dyDescent="0.15">
      <c r="A26" t="s">
        <v>72</v>
      </c>
      <c r="B26" t="s">
        <v>602</v>
      </c>
      <c r="C26" t="s">
        <v>74</v>
      </c>
      <c r="D26" t="s">
        <v>74</v>
      </c>
      <c r="E26" t="s">
        <v>74</v>
      </c>
      <c r="F26" t="s">
        <v>603</v>
      </c>
      <c r="G26" t="s">
        <v>74</v>
      </c>
      <c r="H26" t="s">
        <v>74</v>
      </c>
      <c r="I26" t="s">
        <v>604</v>
      </c>
      <c r="J26" t="s">
        <v>582</v>
      </c>
      <c r="K26" t="s">
        <v>74</v>
      </c>
      <c r="L26" t="s">
        <v>74</v>
      </c>
      <c r="M26" t="s">
        <v>78</v>
      </c>
      <c r="N26" t="s">
        <v>248</v>
      </c>
      <c r="O26" t="s">
        <v>74</v>
      </c>
      <c r="P26" t="s">
        <v>74</v>
      </c>
      <c r="Q26" t="s">
        <v>74</v>
      </c>
      <c r="R26" t="s">
        <v>74</v>
      </c>
      <c r="S26" t="s">
        <v>74</v>
      </c>
      <c r="T26" t="s">
        <v>605</v>
      </c>
      <c r="U26" t="s">
        <v>606</v>
      </c>
      <c r="V26" t="s">
        <v>607</v>
      </c>
      <c r="W26" t="s">
        <v>608</v>
      </c>
      <c r="X26" t="s">
        <v>609</v>
      </c>
      <c r="Y26" t="s">
        <v>610</v>
      </c>
      <c r="Z26" t="s">
        <v>611</v>
      </c>
      <c r="AA26" t="s">
        <v>612</v>
      </c>
      <c r="AB26" t="s">
        <v>613</v>
      </c>
      <c r="AC26" t="s">
        <v>74</v>
      </c>
      <c r="AD26" t="s">
        <v>74</v>
      </c>
      <c r="AE26" t="s">
        <v>74</v>
      </c>
      <c r="AF26" t="s">
        <v>74</v>
      </c>
      <c r="AG26">
        <v>109</v>
      </c>
      <c r="AH26">
        <v>14</v>
      </c>
      <c r="AI26">
        <v>17</v>
      </c>
      <c r="AJ26">
        <v>1</v>
      </c>
      <c r="AK26">
        <v>14</v>
      </c>
      <c r="AL26" t="s">
        <v>272</v>
      </c>
      <c r="AM26" t="s">
        <v>273</v>
      </c>
      <c r="AN26" t="s">
        <v>274</v>
      </c>
      <c r="AO26" t="s">
        <v>594</v>
      </c>
      <c r="AP26" t="s">
        <v>614</v>
      </c>
      <c r="AQ26" t="s">
        <v>74</v>
      </c>
      <c r="AR26" t="s">
        <v>595</v>
      </c>
      <c r="AS26" t="s">
        <v>596</v>
      </c>
      <c r="AT26" t="s">
        <v>574</v>
      </c>
      <c r="AU26">
        <v>2007</v>
      </c>
      <c r="AV26">
        <v>242</v>
      </c>
      <c r="AW26">
        <v>4</v>
      </c>
      <c r="AX26" t="s">
        <v>74</v>
      </c>
      <c r="AY26" t="s">
        <v>74</v>
      </c>
      <c r="AZ26" t="s">
        <v>74</v>
      </c>
      <c r="BA26" t="s">
        <v>74</v>
      </c>
      <c r="BB26">
        <v>271</v>
      </c>
      <c r="BC26">
        <v>289</v>
      </c>
      <c r="BD26" t="s">
        <v>74</v>
      </c>
      <c r="BE26" t="s">
        <v>615</v>
      </c>
      <c r="BF26" t="str">
        <f>HYPERLINK("http://dx.doi.org/10.1016/j.margeo.2007.04.004","http://dx.doi.org/10.1016/j.margeo.2007.04.004")</f>
        <v>http://dx.doi.org/10.1016/j.margeo.2007.04.004</v>
      </c>
      <c r="BG26" t="s">
        <v>74</v>
      </c>
      <c r="BH26" t="s">
        <v>74</v>
      </c>
      <c r="BI26">
        <v>19</v>
      </c>
      <c r="BJ26" t="s">
        <v>598</v>
      </c>
      <c r="BK26" t="s">
        <v>98</v>
      </c>
      <c r="BL26" t="s">
        <v>599</v>
      </c>
      <c r="BM26" t="s">
        <v>600</v>
      </c>
      <c r="BN26" t="s">
        <v>74</v>
      </c>
      <c r="BO26" t="s">
        <v>74</v>
      </c>
      <c r="BP26" t="s">
        <v>74</v>
      </c>
      <c r="BQ26" t="s">
        <v>74</v>
      </c>
      <c r="BR26" t="s">
        <v>101</v>
      </c>
      <c r="BS26" t="s">
        <v>616</v>
      </c>
      <c r="BT26" t="str">
        <f>HYPERLINK("https%3A%2F%2Fwww.webofscience.com%2Fwos%2Fwoscc%2Ffull-record%2FWOS:000248982000005","View Full Record in Web of Science")</f>
        <v>View Full Record in Web of Science</v>
      </c>
    </row>
    <row r="27" spans="1:72" x14ac:dyDescent="0.15">
      <c r="A27" t="s">
        <v>72</v>
      </c>
      <c r="B27" t="s">
        <v>617</v>
      </c>
      <c r="C27" t="s">
        <v>74</v>
      </c>
      <c r="D27" t="s">
        <v>74</v>
      </c>
      <c r="E27" t="s">
        <v>74</v>
      </c>
      <c r="F27" t="s">
        <v>618</v>
      </c>
      <c r="G27" t="s">
        <v>74</v>
      </c>
      <c r="H27" t="s">
        <v>74</v>
      </c>
      <c r="I27" t="s">
        <v>619</v>
      </c>
      <c r="J27" t="s">
        <v>309</v>
      </c>
      <c r="K27" t="s">
        <v>74</v>
      </c>
      <c r="L27" t="s">
        <v>74</v>
      </c>
      <c r="M27" t="s">
        <v>78</v>
      </c>
      <c r="N27" t="s">
        <v>620</v>
      </c>
      <c r="O27" t="s">
        <v>74</v>
      </c>
      <c r="P27" t="s">
        <v>74</v>
      </c>
      <c r="Q27" t="s">
        <v>74</v>
      </c>
      <c r="R27" t="s">
        <v>74</v>
      </c>
      <c r="S27" t="s">
        <v>74</v>
      </c>
      <c r="T27" t="s">
        <v>74</v>
      </c>
      <c r="U27" t="s">
        <v>621</v>
      </c>
      <c r="V27" t="s">
        <v>74</v>
      </c>
      <c r="W27" t="s">
        <v>622</v>
      </c>
      <c r="X27" t="s">
        <v>623</v>
      </c>
      <c r="Y27" t="s">
        <v>624</v>
      </c>
      <c r="Z27" t="s">
        <v>625</v>
      </c>
      <c r="AA27" t="s">
        <v>626</v>
      </c>
      <c r="AB27" t="s">
        <v>627</v>
      </c>
      <c r="AC27" t="s">
        <v>74</v>
      </c>
      <c r="AD27" t="s">
        <v>74</v>
      </c>
      <c r="AE27" t="s">
        <v>74</v>
      </c>
      <c r="AF27" t="s">
        <v>74</v>
      </c>
      <c r="AG27">
        <v>9</v>
      </c>
      <c r="AH27">
        <v>11</v>
      </c>
      <c r="AI27">
        <v>13</v>
      </c>
      <c r="AJ27">
        <v>1</v>
      </c>
      <c r="AK27">
        <v>26</v>
      </c>
      <c r="AL27" t="s">
        <v>318</v>
      </c>
      <c r="AM27" t="s">
        <v>142</v>
      </c>
      <c r="AN27" t="s">
        <v>319</v>
      </c>
      <c r="AO27" t="s">
        <v>320</v>
      </c>
      <c r="AP27" t="s">
        <v>628</v>
      </c>
      <c r="AQ27" t="s">
        <v>74</v>
      </c>
      <c r="AR27" t="s">
        <v>309</v>
      </c>
      <c r="AS27" t="s">
        <v>321</v>
      </c>
      <c r="AT27" t="s">
        <v>574</v>
      </c>
      <c r="AU27">
        <v>2007</v>
      </c>
      <c r="AV27">
        <v>317</v>
      </c>
      <c r="AW27">
        <v>5840</v>
      </c>
      <c r="AX27" t="s">
        <v>74</v>
      </c>
      <c r="AY27" t="s">
        <v>74</v>
      </c>
      <c r="AZ27" t="s">
        <v>74</v>
      </c>
      <c r="BA27" t="s">
        <v>74</v>
      </c>
      <c r="BB27">
        <v>908</v>
      </c>
      <c r="BC27">
        <v>909</v>
      </c>
      <c r="BD27" t="s">
        <v>74</v>
      </c>
      <c r="BE27" t="s">
        <v>629</v>
      </c>
      <c r="BF27" t="str">
        <f>HYPERLINK("http://dx.doi.org/10.1126/science.1147796","http://dx.doi.org/10.1126/science.1147796")</f>
        <v>http://dx.doi.org/10.1126/science.1147796</v>
      </c>
      <c r="BG27" t="s">
        <v>74</v>
      </c>
      <c r="BH27" t="s">
        <v>74</v>
      </c>
      <c r="BI27">
        <v>2</v>
      </c>
      <c r="BJ27" t="s">
        <v>241</v>
      </c>
      <c r="BK27" t="s">
        <v>98</v>
      </c>
      <c r="BL27" t="s">
        <v>242</v>
      </c>
      <c r="BM27" t="s">
        <v>630</v>
      </c>
      <c r="BN27">
        <v>17702934</v>
      </c>
      <c r="BO27" t="s">
        <v>74</v>
      </c>
      <c r="BP27" t="s">
        <v>74</v>
      </c>
      <c r="BQ27" t="s">
        <v>74</v>
      </c>
      <c r="BR27" t="s">
        <v>101</v>
      </c>
      <c r="BS27" t="s">
        <v>631</v>
      </c>
      <c r="BT27" t="str">
        <f>HYPERLINK("https%3A%2F%2Fwww.webofscience.com%2Fwos%2Fwoscc%2Ffull-record%2FWOS:000248780200028","View Full Record in Web of Science")</f>
        <v>View Full Record in Web of Science</v>
      </c>
    </row>
    <row r="28" spans="1:72" x14ac:dyDescent="0.15">
      <c r="A28" t="s">
        <v>72</v>
      </c>
      <c r="B28" t="s">
        <v>632</v>
      </c>
      <c r="C28" t="s">
        <v>74</v>
      </c>
      <c r="D28" t="s">
        <v>74</v>
      </c>
      <c r="E28" t="s">
        <v>74</v>
      </c>
      <c r="F28" t="s">
        <v>633</v>
      </c>
      <c r="G28" t="s">
        <v>74</v>
      </c>
      <c r="H28" t="s">
        <v>74</v>
      </c>
      <c r="I28" t="s">
        <v>634</v>
      </c>
      <c r="J28" t="s">
        <v>130</v>
      </c>
      <c r="K28" t="s">
        <v>74</v>
      </c>
      <c r="L28" t="s">
        <v>74</v>
      </c>
      <c r="M28" t="s">
        <v>78</v>
      </c>
      <c r="N28" t="s">
        <v>79</v>
      </c>
      <c r="O28" t="s">
        <v>74</v>
      </c>
      <c r="P28" t="s">
        <v>74</v>
      </c>
      <c r="Q28" t="s">
        <v>74</v>
      </c>
      <c r="R28" t="s">
        <v>74</v>
      </c>
      <c r="S28" t="s">
        <v>74</v>
      </c>
      <c r="T28" t="s">
        <v>74</v>
      </c>
      <c r="U28" t="s">
        <v>635</v>
      </c>
      <c r="V28" t="s">
        <v>636</v>
      </c>
      <c r="W28" t="s">
        <v>637</v>
      </c>
      <c r="X28" t="s">
        <v>638</v>
      </c>
      <c r="Y28" t="s">
        <v>639</v>
      </c>
      <c r="Z28" t="s">
        <v>74</v>
      </c>
      <c r="AA28" t="s">
        <v>640</v>
      </c>
      <c r="AB28" t="s">
        <v>641</v>
      </c>
      <c r="AC28" t="s">
        <v>74</v>
      </c>
      <c r="AD28" t="s">
        <v>74</v>
      </c>
      <c r="AE28" t="s">
        <v>74</v>
      </c>
      <c r="AF28" t="s">
        <v>74</v>
      </c>
      <c r="AG28">
        <v>25</v>
      </c>
      <c r="AH28">
        <v>8</v>
      </c>
      <c r="AI28">
        <v>8</v>
      </c>
      <c r="AJ28">
        <v>0</v>
      </c>
      <c r="AK28">
        <v>3</v>
      </c>
      <c r="AL28" t="s">
        <v>141</v>
      </c>
      <c r="AM28" t="s">
        <v>142</v>
      </c>
      <c r="AN28" t="s">
        <v>143</v>
      </c>
      <c r="AO28" t="s">
        <v>144</v>
      </c>
      <c r="AP28" t="s">
        <v>145</v>
      </c>
      <c r="AQ28" t="s">
        <v>74</v>
      </c>
      <c r="AR28" t="s">
        <v>146</v>
      </c>
      <c r="AS28" t="s">
        <v>147</v>
      </c>
      <c r="AT28" t="s">
        <v>642</v>
      </c>
      <c r="AU28">
        <v>2007</v>
      </c>
      <c r="AV28">
        <v>34</v>
      </c>
      <c r="AW28">
        <v>16</v>
      </c>
      <c r="AX28" t="s">
        <v>74</v>
      </c>
      <c r="AY28" t="s">
        <v>74</v>
      </c>
      <c r="AZ28" t="s">
        <v>74</v>
      </c>
      <c r="BA28" t="s">
        <v>74</v>
      </c>
      <c r="BB28" t="s">
        <v>74</v>
      </c>
      <c r="BC28" t="s">
        <v>74</v>
      </c>
      <c r="BD28" t="s">
        <v>643</v>
      </c>
      <c r="BE28" t="s">
        <v>644</v>
      </c>
      <c r="BF28" t="str">
        <f>HYPERLINK("http://dx.doi.org/10.1029/2007GL029415","http://dx.doi.org/10.1029/2007GL029415")</f>
        <v>http://dx.doi.org/10.1029/2007GL029415</v>
      </c>
      <c r="BG28" t="s">
        <v>74</v>
      </c>
      <c r="BH28" t="s">
        <v>74</v>
      </c>
      <c r="BI28">
        <v>5</v>
      </c>
      <c r="BJ28" t="s">
        <v>151</v>
      </c>
      <c r="BK28" t="s">
        <v>98</v>
      </c>
      <c r="BL28" t="s">
        <v>152</v>
      </c>
      <c r="BM28" t="s">
        <v>645</v>
      </c>
      <c r="BN28" t="s">
        <v>74</v>
      </c>
      <c r="BO28" t="s">
        <v>154</v>
      </c>
      <c r="BP28" t="s">
        <v>74</v>
      </c>
      <c r="BQ28" t="s">
        <v>74</v>
      </c>
      <c r="BR28" t="s">
        <v>101</v>
      </c>
      <c r="BS28" t="s">
        <v>646</v>
      </c>
      <c r="BT28" t="str">
        <f>HYPERLINK("https%3A%2F%2Fwww.webofscience.com%2Fwos%2Fwoscc%2Ffull-record%2FWOS:000248896500001","View Full Record in Web of Science")</f>
        <v>View Full Record in Web of Science</v>
      </c>
    </row>
    <row r="29" spans="1:72" x14ac:dyDescent="0.15">
      <c r="A29" t="s">
        <v>72</v>
      </c>
      <c r="B29" t="s">
        <v>647</v>
      </c>
      <c r="C29" t="s">
        <v>74</v>
      </c>
      <c r="D29" t="s">
        <v>74</v>
      </c>
      <c r="E29" t="s">
        <v>74</v>
      </c>
      <c r="F29" t="s">
        <v>648</v>
      </c>
      <c r="G29" t="s">
        <v>74</v>
      </c>
      <c r="H29" t="s">
        <v>74</v>
      </c>
      <c r="I29" t="s">
        <v>649</v>
      </c>
      <c r="J29" t="s">
        <v>650</v>
      </c>
      <c r="K29" t="s">
        <v>74</v>
      </c>
      <c r="L29" t="s">
        <v>74</v>
      </c>
      <c r="M29" t="s">
        <v>78</v>
      </c>
      <c r="N29" t="s">
        <v>79</v>
      </c>
      <c r="O29" t="s">
        <v>74</v>
      </c>
      <c r="P29" t="s">
        <v>74</v>
      </c>
      <c r="Q29" t="s">
        <v>74</v>
      </c>
      <c r="R29" t="s">
        <v>74</v>
      </c>
      <c r="S29" t="s">
        <v>74</v>
      </c>
      <c r="T29" t="s">
        <v>651</v>
      </c>
      <c r="U29" t="s">
        <v>652</v>
      </c>
      <c r="V29" t="s">
        <v>653</v>
      </c>
      <c r="W29" t="s">
        <v>654</v>
      </c>
      <c r="X29" t="s">
        <v>655</v>
      </c>
      <c r="Y29" t="s">
        <v>656</v>
      </c>
      <c r="Z29" t="s">
        <v>657</v>
      </c>
      <c r="AA29" t="s">
        <v>658</v>
      </c>
      <c r="AB29" t="s">
        <v>659</v>
      </c>
      <c r="AC29" t="s">
        <v>74</v>
      </c>
      <c r="AD29" t="s">
        <v>74</v>
      </c>
      <c r="AE29" t="s">
        <v>74</v>
      </c>
      <c r="AF29" t="s">
        <v>74</v>
      </c>
      <c r="AG29">
        <v>53</v>
      </c>
      <c r="AH29">
        <v>25</v>
      </c>
      <c r="AI29">
        <v>26</v>
      </c>
      <c r="AJ29">
        <v>0</v>
      </c>
      <c r="AK29">
        <v>13</v>
      </c>
      <c r="AL29" t="s">
        <v>592</v>
      </c>
      <c r="AM29" t="s">
        <v>273</v>
      </c>
      <c r="AN29" t="s">
        <v>593</v>
      </c>
      <c r="AO29" t="s">
        <v>660</v>
      </c>
      <c r="AP29" t="s">
        <v>661</v>
      </c>
      <c r="AQ29" t="s">
        <v>74</v>
      </c>
      <c r="AR29" t="s">
        <v>662</v>
      </c>
      <c r="AS29" t="s">
        <v>663</v>
      </c>
      <c r="AT29" t="s">
        <v>664</v>
      </c>
      <c r="AU29">
        <v>2007</v>
      </c>
      <c r="AV29">
        <v>84</v>
      </c>
      <c r="AW29">
        <v>1</v>
      </c>
      <c r="AX29" t="s">
        <v>74</v>
      </c>
      <c r="AY29" t="s">
        <v>74</v>
      </c>
      <c r="AZ29" t="s">
        <v>74</v>
      </c>
      <c r="BA29" t="s">
        <v>74</v>
      </c>
      <c r="BB29">
        <v>19</v>
      </c>
      <c r="BC29">
        <v>26</v>
      </c>
      <c r="BD29" t="s">
        <v>74</v>
      </c>
      <c r="BE29" t="s">
        <v>665</v>
      </c>
      <c r="BF29" t="str">
        <f>HYPERLINK("http://dx.doi.org/10.1016/j.aquatox.2007.05.010","http://dx.doi.org/10.1016/j.aquatox.2007.05.010")</f>
        <v>http://dx.doi.org/10.1016/j.aquatox.2007.05.010</v>
      </c>
      <c r="BG29" t="s">
        <v>74</v>
      </c>
      <c r="BH29" t="s">
        <v>74</v>
      </c>
      <c r="BI29">
        <v>8</v>
      </c>
      <c r="BJ29" t="s">
        <v>666</v>
      </c>
      <c r="BK29" t="s">
        <v>98</v>
      </c>
      <c r="BL29" t="s">
        <v>666</v>
      </c>
      <c r="BM29" t="s">
        <v>667</v>
      </c>
      <c r="BN29">
        <v>17643506</v>
      </c>
      <c r="BO29" t="s">
        <v>74</v>
      </c>
      <c r="BP29" t="s">
        <v>74</v>
      </c>
      <c r="BQ29" t="s">
        <v>74</v>
      </c>
      <c r="BR29" t="s">
        <v>101</v>
      </c>
      <c r="BS29" t="s">
        <v>668</v>
      </c>
      <c r="BT29" t="str">
        <f>HYPERLINK("https%3A%2F%2Fwww.webofscience.com%2Fwos%2Fwoscc%2Ffull-record%2FWOS:000249165800003","View Full Record in Web of Science")</f>
        <v>View Full Record in Web of Science</v>
      </c>
    </row>
    <row r="30" spans="1:72" x14ac:dyDescent="0.15">
      <c r="A30" t="s">
        <v>72</v>
      </c>
      <c r="B30" t="s">
        <v>669</v>
      </c>
      <c r="C30" t="s">
        <v>74</v>
      </c>
      <c r="D30" t="s">
        <v>74</v>
      </c>
      <c r="E30" t="s">
        <v>74</v>
      </c>
      <c r="F30" t="s">
        <v>670</v>
      </c>
      <c r="G30" t="s">
        <v>74</v>
      </c>
      <c r="H30" t="s">
        <v>74</v>
      </c>
      <c r="I30" t="s">
        <v>671</v>
      </c>
      <c r="J30" t="s">
        <v>672</v>
      </c>
      <c r="K30" t="s">
        <v>74</v>
      </c>
      <c r="L30" t="s">
        <v>74</v>
      </c>
      <c r="M30" t="s">
        <v>78</v>
      </c>
      <c r="N30" t="s">
        <v>79</v>
      </c>
      <c r="O30" t="s">
        <v>74</v>
      </c>
      <c r="P30" t="s">
        <v>74</v>
      </c>
      <c r="Q30" t="s">
        <v>74</v>
      </c>
      <c r="R30" t="s">
        <v>74</v>
      </c>
      <c r="S30" t="s">
        <v>74</v>
      </c>
      <c r="T30" t="s">
        <v>673</v>
      </c>
      <c r="U30" t="s">
        <v>674</v>
      </c>
      <c r="V30" t="s">
        <v>675</v>
      </c>
      <c r="W30" t="s">
        <v>676</v>
      </c>
      <c r="X30" t="s">
        <v>677</v>
      </c>
      <c r="Y30" t="s">
        <v>678</v>
      </c>
      <c r="Z30" t="s">
        <v>679</v>
      </c>
      <c r="AA30" t="s">
        <v>680</v>
      </c>
      <c r="AB30" t="s">
        <v>681</v>
      </c>
      <c r="AC30" t="s">
        <v>74</v>
      </c>
      <c r="AD30" t="s">
        <v>74</v>
      </c>
      <c r="AE30" t="s">
        <v>74</v>
      </c>
      <c r="AF30" t="s">
        <v>74</v>
      </c>
      <c r="AG30">
        <v>40</v>
      </c>
      <c r="AH30">
        <v>17</v>
      </c>
      <c r="AI30">
        <v>19</v>
      </c>
      <c r="AJ30">
        <v>0</v>
      </c>
      <c r="AK30">
        <v>16</v>
      </c>
      <c r="AL30" t="s">
        <v>272</v>
      </c>
      <c r="AM30" t="s">
        <v>273</v>
      </c>
      <c r="AN30" t="s">
        <v>274</v>
      </c>
      <c r="AO30" t="s">
        <v>682</v>
      </c>
      <c r="AP30" t="s">
        <v>683</v>
      </c>
      <c r="AQ30" t="s">
        <v>74</v>
      </c>
      <c r="AR30" t="s">
        <v>684</v>
      </c>
      <c r="AS30" t="s">
        <v>685</v>
      </c>
      <c r="AT30" t="s">
        <v>664</v>
      </c>
      <c r="AU30">
        <v>2007</v>
      </c>
      <c r="AV30">
        <v>242</v>
      </c>
      <c r="AW30" t="s">
        <v>686</v>
      </c>
      <c r="AX30" t="s">
        <v>74</v>
      </c>
      <c r="AY30" t="s">
        <v>74</v>
      </c>
      <c r="AZ30" t="s">
        <v>74</v>
      </c>
      <c r="BA30" t="s">
        <v>74</v>
      </c>
      <c r="BB30">
        <v>458</v>
      </c>
      <c r="BC30">
        <v>472</v>
      </c>
      <c r="BD30" t="s">
        <v>74</v>
      </c>
      <c r="BE30" t="s">
        <v>687</v>
      </c>
      <c r="BF30" t="str">
        <f>HYPERLINK("http://dx.doi.org/10.1016/j.chemgeo.2007.05.004","http://dx.doi.org/10.1016/j.chemgeo.2007.05.004")</f>
        <v>http://dx.doi.org/10.1016/j.chemgeo.2007.05.004</v>
      </c>
      <c r="BG30" t="s">
        <v>74</v>
      </c>
      <c r="BH30" t="s">
        <v>74</v>
      </c>
      <c r="BI30">
        <v>15</v>
      </c>
      <c r="BJ30" t="s">
        <v>688</v>
      </c>
      <c r="BK30" t="s">
        <v>98</v>
      </c>
      <c r="BL30" t="s">
        <v>688</v>
      </c>
      <c r="BM30" t="s">
        <v>689</v>
      </c>
      <c r="BN30" t="s">
        <v>74</v>
      </c>
      <c r="BO30" t="s">
        <v>74</v>
      </c>
      <c r="BP30" t="s">
        <v>74</v>
      </c>
      <c r="BQ30" t="s">
        <v>74</v>
      </c>
      <c r="BR30" t="s">
        <v>101</v>
      </c>
      <c r="BS30" t="s">
        <v>690</v>
      </c>
      <c r="BT30" t="str">
        <f>HYPERLINK("https%3A%2F%2Fwww.webofscience.com%2Fwos%2Fwoscc%2Ffull-record%2FWOS:000248958000011","View Full Record in Web of Science")</f>
        <v>View Full Record in Web of Science</v>
      </c>
    </row>
    <row r="31" spans="1:72" x14ac:dyDescent="0.15">
      <c r="A31" t="s">
        <v>72</v>
      </c>
      <c r="B31" t="s">
        <v>691</v>
      </c>
      <c r="C31" t="s">
        <v>74</v>
      </c>
      <c r="D31" t="s">
        <v>74</v>
      </c>
      <c r="E31" t="s">
        <v>74</v>
      </c>
      <c r="F31" t="s">
        <v>692</v>
      </c>
      <c r="G31" t="s">
        <v>74</v>
      </c>
      <c r="H31" t="s">
        <v>74</v>
      </c>
      <c r="I31" t="s">
        <v>693</v>
      </c>
      <c r="J31" t="s">
        <v>694</v>
      </c>
      <c r="K31" t="s">
        <v>74</v>
      </c>
      <c r="L31" t="s">
        <v>74</v>
      </c>
      <c r="M31" t="s">
        <v>78</v>
      </c>
      <c r="N31" t="s">
        <v>79</v>
      </c>
      <c r="O31" t="s">
        <v>74</v>
      </c>
      <c r="P31" t="s">
        <v>74</v>
      </c>
      <c r="Q31" t="s">
        <v>74</v>
      </c>
      <c r="R31" t="s">
        <v>74</v>
      </c>
      <c r="S31" t="s">
        <v>74</v>
      </c>
      <c r="T31" t="s">
        <v>695</v>
      </c>
      <c r="U31" t="s">
        <v>696</v>
      </c>
      <c r="V31" t="s">
        <v>697</v>
      </c>
      <c r="W31" t="s">
        <v>698</v>
      </c>
      <c r="X31" t="s">
        <v>699</v>
      </c>
      <c r="Y31" t="s">
        <v>700</v>
      </c>
      <c r="Z31" t="s">
        <v>701</v>
      </c>
      <c r="AA31" t="s">
        <v>702</v>
      </c>
      <c r="AB31" t="s">
        <v>703</v>
      </c>
      <c r="AC31" t="s">
        <v>74</v>
      </c>
      <c r="AD31" t="s">
        <v>74</v>
      </c>
      <c r="AE31" t="s">
        <v>74</v>
      </c>
      <c r="AF31" t="s">
        <v>74</v>
      </c>
      <c r="AG31">
        <v>69</v>
      </c>
      <c r="AH31">
        <v>53</v>
      </c>
      <c r="AI31">
        <v>56</v>
      </c>
      <c r="AJ31">
        <v>1</v>
      </c>
      <c r="AK31">
        <v>13</v>
      </c>
      <c r="AL31" t="s">
        <v>272</v>
      </c>
      <c r="AM31" t="s">
        <v>273</v>
      </c>
      <c r="AN31" t="s">
        <v>274</v>
      </c>
      <c r="AO31" t="s">
        <v>704</v>
      </c>
      <c r="AP31" t="s">
        <v>705</v>
      </c>
      <c r="AQ31" t="s">
        <v>74</v>
      </c>
      <c r="AR31" t="s">
        <v>706</v>
      </c>
      <c r="AS31" t="s">
        <v>707</v>
      </c>
      <c r="AT31" t="s">
        <v>664</v>
      </c>
      <c r="AU31">
        <v>2007</v>
      </c>
      <c r="AV31">
        <v>260</v>
      </c>
      <c r="AW31" t="s">
        <v>280</v>
      </c>
      <c r="AX31" t="s">
        <v>74</v>
      </c>
      <c r="AY31" t="s">
        <v>74</v>
      </c>
      <c r="AZ31" t="s">
        <v>74</v>
      </c>
      <c r="BA31" t="s">
        <v>74</v>
      </c>
      <c r="BB31">
        <v>115</v>
      </c>
      <c r="BC31">
        <v>126</v>
      </c>
      <c r="BD31" t="s">
        <v>74</v>
      </c>
      <c r="BE31" t="s">
        <v>708</v>
      </c>
      <c r="BF31" t="str">
        <f>HYPERLINK("http://dx.doi.org/10.1016/j.epsl.2007.05.020","http://dx.doi.org/10.1016/j.epsl.2007.05.020")</f>
        <v>http://dx.doi.org/10.1016/j.epsl.2007.05.020</v>
      </c>
      <c r="BG31" t="s">
        <v>74</v>
      </c>
      <c r="BH31" t="s">
        <v>74</v>
      </c>
      <c r="BI31">
        <v>12</v>
      </c>
      <c r="BJ31" t="s">
        <v>688</v>
      </c>
      <c r="BK31" t="s">
        <v>98</v>
      </c>
      <c r="BL31" t="s">
        <v>688</v>
      </c>
      <c r="BM31" t="s">
        <v>709</v>
      </c>
      <c r="BN31" t="s">
        <v>74</v>
      </c>
      <c r="BO31" t="s">
        <v>74</v>
      </c>
      <c r="BP31" t="s">
        <v>74</v>
      </c>
      <c r="BQ31" t="s">
        <v>74</v>
      </c>
      <c r="BR31" t="s">
        <v>101</v>
      </c>
      <c r="BS31" t="s">
        <v>710</v>
      </c>
      <c r="BT31" t="str">
        <f>HYPERLINK("https%3A%2F%2Fwww.webofscience.com%2Fwos%2Fwoscc%2Ffull-record%2FWOS:000248883300009","View Full Record in Web of Science")</f>
        <v>View Full Record in Web of Science</v>
      </c>
    </row>
    <row r="32" spans="1:72" x14ac:dyDescent="0.15">
      <c r="A32" t="s">
        <v>72</v>
      </c>
      <c r="B32" t="s">
        <v>711</v>
      </c>
      <c r="C32" t="s">
        <v>74</v>
      </c>
      <c r="D32" t="s">
        <v>74</v>
      </c>
      <c r="E32" t="s">
        <v>74</v>
      </c>
      <c r="F32" t="s">
        <v>712</v>
      </c>
      <c r="G32" t="s">
        <v>74</v>
      </c>
      <c r="H32" t="s">
        <v>74</v>
      </c>
      <c r="I32" t="s">
        <v>713</v>
      </c>
      <c r="J32" t="s">
        <v>694</v>
      </c>
      <c r="K32" t="s">
        <v>74</v>
      </c>
      <c r="L32" t="s">
        <v>74</v>
      </c>
      <c r="M32" t="s">
        <v>78</v>
      </c>
      <c r="N32" t="s">
        <v>79</v>
      </c>
      <c r="O32" t="s">
        <v>74</v>
      </c>
      <c r="P32" t="s">
        <v>74</v>
      </c>
      <c r="Q32" t="s">
        <v>74</v>
      </c>
      <c r="R32" t="s">
        <v>74</v>
      </c>
      <c r="S32" t="s">
        <v>74</v>
      </c>
      <c r="T32" t="s">
        <v>714</v>
      </c>
      <c r="U32" t="s">
        <v>715</v>
      </c>
      <c r="V32" t="s">
        <v>716</v>
      </c>
      <c r="W32" t="s">
        <v>717</v>
      </c>
      <c r="X32" t="s">
        <v>718</v>
      </c>
      <c r="Y32" t="s">
        <v>719</v>
      </c>
      <c r="Z32" t="s">
        <v>720</v>
      </c>
      <c r="AA32" t="s">
        <v>721</v>
      </c>
      <c r="AB32" t="s">
        <v>722</v>
      </c>
      <c r="AC32" t="s">
        <v>360</v>
      </c>
      <c r="AD32" t="s">
        <v>361</v>
      </c>
      <c r="AE32" t="s">
        <v>74</v>
      </c>
      <c r="AF32" t="s">
        <v>74</v>
      </c>
      <c r="AG32">
        <v>73</v>
      </c>
      <c r="AH32">
        <v>172</v>
      </c>
      <c r="AI32">
        <v>190</v>
      </c>
      <c r="AJ32">
        <v>3</v>
      </c>
      <c r="AK32">
        <v>70</v>
      </c>
      <c r="AL32" t="s">
        <v>272</v>
      </c>
      <c r="AM32" t="s">
        <v>273</v>
      </c>
      <c r="AN32" t="s">
        <v>274</v>
      </c>
      <c r="AO32" t="s">
        <v>704</v>
      </c>
      <c r="AP32" t="s">
        <v>705</v>
      </c>
      <c r="AQ32" t="s">
        <v>74</v>
      </c>
      <c r="AR32" t="s">
        <v>706</v>
      </c>
      <c r="AS32" t="s">
        <v>707</v>
      </c>
      <c r="AT32" t="s">
        <v>664</v>
      </c>
      <c r="AU32">
        <v>2007</v>
      </c>
      <c r="AV32">
        <v>260</v>
      </c>
      <c r="AW32" t="s">
        <v>280</v>
      </c>
      <c r="AX32" t="s">
        <v>74</v>
      </c>
      <c r="AY32" t="s">
        <v>74</v>
      </c>
      <c r="AZ32" t="s">
        <v>74</v>
      </c>
      <c r="BA32" t="s">
        <v>74</v>
      </c>
      <c r="BB32">
        <v>340</v>
      </c>
      <c r="BC32">
        <v>354</v>
      </c>
      <c r="BD32" t="s">
        <v>74</v>
      </c>
      <c r="BE32" t="s">
        <v>723</v>
      </c>
      <c r="BF32" t="str">
        <f>HYPERLINK("http://dx.doi.org/10.1016/j.epsl.2007.06.014","http://dx.doi.org/10.1016/j.epsl.2007.06.014")</f>
        <v>http://dx.doi.org/10.1016/j.epsl.2007.06.014</v>
      </c>
      <c r="BG32" t="s">
        <v>74</v>
      </c>
      <c r="BH32" t="s">
        <v>74</v>
      </c>
      <c r="BI32">
        <v>15</v>
      </c>
      <c r="BJ32" t="s">
        <v>688</v>
      </c>
      <c r="BK32" t="s">
        <v>98</v>
      </c>
      <c r="BL32" t="s">
        <v>688</v>
      </c>
      <c r="BM32" t="s">
        <v>709</v>
      </c>
      <c r="BN32" t="s">
        <v>74</v>
      </c>
      <c r="BO32" t="s">
        <v>198</v>
      </c>
      <c r="BP32" t="s">
        <v>74</v>
      </c>
      <c r="BQ32" t="s">
        <v>74</v>
      </c>
      <c r="BR32" t="s">
        <v>101</v>
      </c>
      <c r="BS32" t="s">
        <v>724</v>
      </c>
      <c r="BT32" t="str">
        <f>HYPERLINK("https%3A%2F%2Fwww.webofscience.com%2Fwos%2Fwoscc%2Ffull-record%2FWOS:000248883300025","View Full Record in Web of Science")</f>
        <v>View Full Record in Web of Science</v>
      </c>
    </row>
    <row r="33" spans="1:72" x14ac:dyDescent="0.15">
      <c r="A33" t="s">
        <v>72</v>
      </c>
      <c r="B33" t="s">
        <v>725</v>
      </c>
      <c r="C33" t="s">
        <v>74</v>
      </c>
      <c r="D33" t="s">
        <v>74</v>
      </c>
      <c r="E33" t="s">
        <v>74</v>
      </c>
      <c r="F33" t="s">
        <v>726</v>
      </c>
      <c r="G33" t="s">
        <v>74</v>
      </c>
      <c r="H33" t="s">
        <v>74</v>
      </c>
      <c r="I33" t="s">
        <v>727</v>
      </c>
      <c r="J33" t="s">
        <v>728</v>
      </c>
      <c r="K33" t="s">
        <v>74</v>
      </c>
      <c r="L33" t="s">
        <v>74</v>
      </c>
      <c r="M33" t="s">
        <v>78</v>
      </c>
      <c r="N33" t="s">
        <v>514</v>
      </c>
      <c r="O33" t="s">
        <v>729</v>
      </c>
      <c r="P33" t="s">
        <v>730</v>
      </c>
      <c r="Q33" t="s">
        <v>731</v>
      </c>
      <c r="R33" t="s">
        <v>74</v>
      </c>
      <c r="S33" t="s">
        <v>74</v>
      </c>
      <c r="T33" t="s">
        <v>732</v>
      </c>
      <c r="U33" t="s">
        <v>733</v>
      </c>
      <c r="V33" t="s">
        <v>734</v>
      </c>
      <c r="W33" t="s">
        <v>735</v>
      </c>
      <c r="X33" t="s">
        <v>736</v>
      </c>
      <c r="Y33" t="s">
        <v>737</v>
      </c>
      <c r="Z33" t="s">
        <v>738</v>
      </c>
      <c r="AA33" t="s">
        <v>739</v>
      </c>
      <c r="AB33" t="s">
        <v>740</v>
      </c>
      <c r="AC33" t="s">
        <v>74</v>
      </c>
      <c r="AD33" t="s">
        <v>74</v>
      </c>
      <c r="AE33" t="s">
        <v>74</v>
      </c>
      <c r="AF33" t="s">
        <v>74</v>
      </c>
      <c r="AG33">
        <v>31</v>
      </c>
      <c r="AH33">
        <v>25</v>
      </c>
      <c r="AI33">
        <v>25</v>
      </c>
      <c r="AJ33">
        <v>0</v>
      </c>
      <c r="AK33">
        <v>5</v>
      </c>
      <c r="AL33" t="s">
        <v>592</v>
      </c>
      <c r="AM33" t="s">
        <v>273</v>
      </c>
      <c r="AN33" t="s">
        <v>593</v>
      </c>
      <c r="AO33" t="s">
        <v>741</v>
      </c>
      <c r="AP33" t="s">
        <v>74</v>
      </c>
      <c r="AQ33" t="s">
        <v>74</v>
      </c>
      <c r="AR33" t="s">
        <v>728</v>
      </c>
      <c r="AS33" t="s">
        <v>742</v>
      </c>
      <c r="AT33" t="s">
        <v>664</v>
      </c>
      <c r="AU33">
        <v>2007</v>
      </c>
      <c r="AV33">
        <v>398</v>
      </c>
      <c r="AW33" t="s">
        <v>280</v>
      </c>
      <c r="AX33" t="s">
        <v>74</v>
      </c>
      <c r="AY33" t="s">
        <v>74</v>
      </c>
      <c r="AZ33" t="s">
        <v>532</v>
      </c>
      <c r="BA33" t="s">
        <v>74</v>
      </c>
      <c r="BB33">
        <v>69</v>
      </c>
      <c r="BC33">
        <v>77</v>
      </c>
      <c r="BD33" t="s">
        <v>74</v>
      </c>
      <c r="BE33" t="s">
        <v>743</v>
      </c>
      <c r="BF33" t="str">
        <f>HYPERLINK("http://dx.doi.org/10.1016/j.gene.2007.02.037","http://dx.doi.org/10.1016/j.gene.2007.02.037")</f>
        <v>http://dx.doi.org/10.1016/j.gene.2007.02.037</v>
      </c>
      <c r="BG33" t="s">
        <v>74</v>
      </c>
      <c r="BH33" t="s">
        <v>74</v>
      </c>
      <c r="BI33">
        <v>9</v>
      </c>
      <c r="BJ33" t="s">
        <v>744</v>
      </c>
      <c r="BK33" t="s">
        <v>745</v>
      </c>
      <c r="BL33" t="s">
        <v>744</v>
      </c>
      <c r="BM33" t="s">
        <v>746</v>
      </c>
      <c r="BN33">
        <v>17582708</v>
      </c>
      <c r="BO33" t="s">
        <v>74</v>
      </c>
      <c r="BP33" t="s">
        <v>74</v>
      </c>
      <c r="BQ33" t="s">
        <v>74</v>
      </c>
      <c r="BR33" t="s">
        <v>101</v>
      </c>
      <c r="BS33" t="s">
        <v>747</v>
      </c>
      <c r="BT33" t="str">
        <f>HYPERLINK("https%3A%2F%2Fwww.webofscience.com%2Fwos%2Fwoscc%2Ffull-record%2FWOS:000248784200009","View Full Record in Web of Science")</f>
        <v>View Full Record in Web of Science</v>
      </c>
    </row>
    <row r="34" spans="1:72" x14ac:dyDescent="0.15">
      <c r="A34" t="s">
        <v>72</v>
      </c>
      <c r="B34" t="s">
        <v>748</v>
      </c>
      <c r="C34" t="s">
        <v>74</v>
      </c>
      <c r="D34" t="s">
        <v>74</v>
      </c>
      <c r="E34" t="s">
        <v>74</v>
      </c>
      <c r="F34" t="s">
        <v>749</v>
      </c>
      <c r="G34" t="s">
        <v>74</v>
      </c>
      <c r="H34" t="s">
        <v>74</v>
      </c>
      <c r="I34" t="s">
        <v>750</v>
      </c>
      <c r="J34" t="s">
        <v>728</v>
      </c>
      <c r="K34" t="s">
        <v>74</v>
      </c>
      <c r="L34" t="s">
        <v>74</v>
      </c>
      <c r="M34" t="s">
        <v>78</v>
      </c>
      <c r="N34" t="s">
        <v>514</v>
      </c>
      <c r="O34" t="s">
        <v>729</v>
      </c>
      <c r="P34" t="s">
        <v>730</v>
      </c>
      <c r="Q34" t="s">
        <v>731</v>
      </c>
      <c r="R34" t="s">
        <v>74</v>
      </c>
      <c r="S34" t="s">
        <v>74</v>
      </c>
      <c r="T34" t="s">
        <v>751</v>
      </c>
      <c r="U34" t="s">
        <v>752</v>
      </c>
      <c r="V34" t="s">
        <v>753</v>
      </c>
      <c r="W34" t="s">
        <v>754</v>
      </c>
      <c r="X34" t="s">
        <v>755</v>
      </c>
      <c r="Y34" t="s">
        <v>737</v>
      </c>
      <c r="Z34" t="s">
        <v>738</v>
      </c>
      <c r="AA34" t="s">
        <v>756</v>
      </c>
      <c r="AB34" t="s">
        <v>757</v>
      </c>
      <c r="AC34" t="s">
        <v>74</v>
      </c>
      <c r="AD34" t="s">
        <v>74</v>
      </c>
      <c r="AE34" t="s">
        <v>74</v>
      </c>
      <c r="AF34" t="s">
        <v>74</v>
      </c>
      <c r="AG34">
        <v>98</v>
      </c>
      <c r="AH34">
        <v>39</v>
      </c>
      <c r="AI34">
        <v>49</v>
      </c>
      <c r="AJ34">
        <v>3</v>
      </c>
      <c r="AK34">
        <v>51</v>
      </c>
      <c r="AL34" t="s">
        <v>592</v>
      </c>
      <c r="AM34" t="s">
        <v>273</v>
      </c>
      <c r="AN34" t="s">
        <v>593</v>
      </c>
      <c r="AO34" t="s">
        <v>741</v>
      </c>
      <c r="AP34" t="s">
        <v>758</v>
      </c>
      <c r="AQ34" t="s">
        <v>74</v>
      </c>
      <c r="AR34" t="s">
        <v>728</v>
      </c>
      <c r="AS34" t="s">
        <v>742</v>
      </c>
      <c r="AT34" t="s">
        <v>664</v>
      </c>
      <c r="AU34">
        <v>2007</v>
      </c>
      <c r="AV34">
        <v>398</v>
      </c>
      <c r="AW34" t="s">
        <v>280</v>
      </c>
      <c r="AX34" t="s">
        <v>74</v>
      </c>
      <c r="AY34" t="s">
        <v>74</v>
      </c>
      <c r="AZ34" t="s">
        <v>532</v>
      </c>
      <c r="BA34" t="s">
        <v>74</v>
      </c>
      <c r="BB34">
        <v>143</v>
      </c>
      <c r="BC34">
        <v>155</v>
      </c>
      <c r="BD34" t="s">
        <v>74</v>
      </c>
      <c r="BE34" t="s">
        <v>759</v>
      </c>
      <c r="BF34" t="str">
        <f>HYPERLINK("http://dx.doi.org/10.1016/j.gene.2007.02.047","http://dx.doi.org/10.1016/j.gene.2007.02.047")</f>
        <v>http://dx.doi.org/10.1016/j.gene.2007.02.047</v>
      </c>
      <c r="BG34" t="s">
        <v>74</v>
      </c>
      <c r="BH34" t="s">
        <v>74</v>
      </c>
      <c r="BI34">
        <v>13</v>
      </c>
      <c r="BJ34" t="s">
        <v>744</v>
      </c>
      <c r="BK34" t="s">
        <v>535</v>
      </c>
      <c r="BL34" t="s">
        <v>744</v>
      </c>
      <c r="BM34" t="s">
        <v>746</v>
      </c>
      <c r="BN34">
        <v>17553637</v>
      </c>
      <c r="BO34" t="s">
        <v>74</v>
      </c>
      <c r="BP34" t="s">
        <v>74</v>
      </c>
      <c r="BQ34" t="s">
        <v>74</v>
      </c>
      <c r="BR34" t="s">
        <v>101</v>
      </c>
      <c r="BS34" t="s">
        <v>760</v>
      </c>
      <c r="BT34" t="str">
        <f>HYPERLINK("https%3A%2F%2Fwww.webofscience.com%2Fwos%2Fwoscc%2Ffull-record%2FWOS:000248784200017","View Full Record in Web of Science")</f>
        <v>View Full Record in Web of Science</v>
      </c>
    </row>
    <row r="35" spans="1:72" x14ac:dyDescent="0.15">
      <c r="A35" t="s">
        <v>72</v>
      </c>
      <c r="B35" t="s">
        <v>761</v>
      </c>
      <c r="C35" t="s">
        <v>74</v>
      </c>
      <c r="D35" t="s">
        <v>74</v>
      </c>
      <c r="E35" t="s">
        <v>74</v>
      </c>
      <c r="F35" t="s">
        <v>762</v>
      </c>
      <c r="G35" t="s">
        <v>74</v>
      </c>
      <c r="H35" t="s">
        <v>74</v>
      </c>
      <c r="I35" t="s">
        <v>763</v>
      </c>
      <c r="J35" t="s">
        <v>130</v>
      </c>
      <c r="K35" t="s">
        <v>74</v>
      </c>
      <c r="L35" t="s">
        <v>74</v>
      </c>
      <c r="M35" t="s">
        <v>78</v>
      </c>
      <c r="N35" t="s">
        <v>79</v>
      </c>
      <c r="O35" t="s">
        <v>74</v>
      </c>
      <c r="P35" t="s">
        <v>74</v>
      </c>
      <c r="Q35" t="s">
        <v>74</v>
      </c>
      <c r="R35" t="s">
        <v>74</v>
      </c>
      <c r="S35" t="s">
        <v>74</v>
      </c>
      <c r="T35" t="s">
        <v>74</v>
      </c>
      <c r="U35" t="s">
        <v>764</v>
      </c>
      <c r="V35" t="s">
        <v>765</v>
      </c>
      <c r="W35" t="s">
        <v>766</v>
      </c>
      <c r="X35" t="s">
        <v>767</v>
      </c>
      <c r="Y35" t="s">
        <v>768</v>
      </c>
      <c r="Z35" t="s">
        <v>769</v>
      </c>
      <c r="AA35" t="s">
        <v>770</v>
      </c>
      <c r="AB35" t="s">
        <v>771</v>
      </c>
      <c r="AC35" t="s">
        <v>74</v>
      </c>
      <c r="AD35" t="s">
        <v>74</v>
      </c>
      <c r="AE35" t="s">
        <v>74</v>
      </c>
      <c r="AF35" t="s">
        <v>74</v>
      </c>
      <c r="AG35">
        <v>14</v>
      </c>
      <c r="AH35">
        <v>1</v>
      </c>
      <c r="AI35">
        <v>1</v>
      </c>
      <c r="AJ35">
        <v>0</v>
      </c>
      <c r="AK35">
        <v>1</v>
      </c>
      <c r="AL35" t="s">
        <v>141</v>
      </c>
      <c r="AM35" t="s">
        <v>142</v>
      </c>
      <c r="AN35" t="s">
        <v>143</v>
      </c>
      <c r="AO35" t="s">
        <v>144</v>
      </c>
      <c r="AP35" t="s">
        <v>145</v>
      </c>
      <c r="AQ35" t="s">
        <v>74</v>
      </c>
      <c r="AR35" t="s">
        <v>146</v>
      </c>
      <c r="AS35" t="s">
        <v>147</v>
      </c>
      <c r="AT35" t="s">
        <v>664</v>
      </c>
      <c r="AU35">
        <v>2007</v>
      </c>
      <c r="AV35">
        <v>34</v>
      </c>
      <c r="AW35">
        <v>15</v>
      </c>
      <c r="AX35" t="s">
        <v>74</v>
      </c>
      <c r="AY35" t="s">
        <v>74</v>
      </c>
      <c r="AZ35" t="s">
        <v>74</v>
      </c>
      <c r="BA35" t="s">
        <v>74</v>
      </c>
      <c r="BB35" t="s">
        <v>74</v>
      </c>
      <c r="BC35" t="s">
        <v>74</v>
      </c>
      <c r="BD35" t="s">
        <v>772</v>
      </c>
      <c r="BE35" t="s">
        <v>773</v>
      </c>
      <c r="BF35" t="str">
        <f>HYPERLINK("http://dx.doi.org/10.1029/2007GL030646","http://dx.doi.org/10.1029/2007GL030646")</f>
        <v>http://dx.doi.org/10.1029/2007GL030646</v>
      </c>
      <c r="BG35" t="s">
        <v>74</v>
      </c>
      <c r="BH35" t="s">
        <v>74</v>
      </c>
      <c r="BI35">
        <v>5</v>
      </c>
      <c r="BJ35" t="s">
        <v>151</v>
      </c>
      <c r="BK35" t="s">
        <v>98</v>
      </c>
      <c r="BL35" t="s">
        <v>152</v>
      </c>
      <c r="BM35" t="s">
        <v>774</v>
      </c>
      <c r="BN35" t="s">
        <v>74</v>
      </c>
      <c r="BO35" t="s">
        <v>74</v>
      </c>
      <c r="BP35" t="s">
        <v>74</v>
      </c>
      <c r="BQ35" t="s">
        <v>74</v>
      </c>
      <c r="BR35" t="s">
        <v>101</v>
      </c>
      <c r="BS35" t="s">
        <v>775</v>
      </c>
      <c r="BT35" t="str">
        <f>HYPERLINK("https%3A%2F%2Fwww.webofscience.com%2Fwos%2Fwoscc%2Ffull-record%2FWOS:000248896300007","View Full Record in Web of Science")</f>
        <v>View Full Record in Web of Science</v>
      </c>
    </row>
    <row r="36" spans="1:72" x14ac:dyDescent="0.15">
      <c r="A36" t="s">
        <v>72</v>
      </c>
      <c r="B36" t="s">
        <v>776</v>
      </c>
      <c r="C36" t="s">
        <v>74</v>
      </c>
      <c r="D36" t="s">
        <v>74</v>
      </c>
      <c r="E36" t="s">
        <v>74</v>
      </c>
      <c r="F36" t="s">
        <v>777</v>
      </c>
      <c r="G36" t="s">
        <v>74</v>
      </c>
      <c r="H36" t="s">
        <v>74</v>
      </c>
      <c r="I36" t="s">
        <v>778</v>
      </c>
      <c r="J36" t="s">
        <v>779</v>
      </c>
      <c r="K36" t="s">
        <v>74</v>
      </c>
      <c r="L36" t="s">
        <v>74</v>
      </c>
      <c r="M36" t="s">
        <v>78</v>
      </c>
      <c r="N36" t="s">
        <v>79</v>
      </c>
      <c r="O36" t="s">
        <v>74</v>
      </c>
      <c r="P36" t="s">
        <v>74</v>
      </c>
      <c r="Q36" t="s">
        <v>74</v>
      </c>
      <c r="R36" t="s">
        <v>74</v>
      </c>
      <c r="S36" t="s">
        <v>74</v>
      </c>
      <c r="T36" t="s">
        <v>780</v>
      </c>
      <c r="U36" t="s">
        <v>781</v>
      </c>
      <c r="V36" t="s">
        <v>782</v>
      </c>
      <c r="W36" t="s">
        <v>783</v>
      </c>
      <c r="X36" t="s">
        <v>784</v>
      </c>
      <c r="Y36" t="s">
        <v>785</v>
      </c>
      <c r="Z36" t="s">
        <v>786</v>
      </c>
      <c r="AA36" t="s">
        <v>74</v>
      </c>
      <c r="AB36" t="s">
        <v>74</v>
      </c>
      <c r="AC36" t="s">
        <v>74</v>
      </c>
      <c r="AD36" t="s">
        <v>74</v>
      </c>
      <c r="AE36" t="s">
        <v>74</v>
      </c>
      <c r="AF36" t="s">
        <v>74</v>
      </c>
      <c r="AG36">
        <v>38</v>
      </c>
      <c r="AH36">
        <v>4</v>
      </c>
      <c r="AI36">
        <v>4</v>
      </c>
      <c r="AJ36">
        <v>0</v>
      </c>
      <c r="AK36">
        <v>8</v>
      </c>
      <c r="AL36" t="s">
        <v>787</v>
      </c>
      <c r="AM36" t="s">
        <v>788</v>
      </c>
      <c r="AN36" t="s">
        <v>789</v>
      </c>
      <c r="AO36" t="s">
        <v>790</v>
      </c>
      <c r="AP36" t="s">
        <v>74</v>
      </c>
      <c r="AQ36" t="s">
        <v>74</v>
      </c>
      <c r="AR36" t="s">
        <v>791</v>
      </c>
      <c r="AS36" t="s">
        <v>792</v>
      </c>
      <c r="AT36" t="s">
        <v>664</v>
      </c>
      <c r="AU36">
        <v>2007</v>
      </c>
      <c r="AV36">
        <v>210</v>
      </c>
      <c r="AW36">
        <v>16</v>
      </c>
      <c r="AX36" t="s">
        <v>74</v>
      </c>
      <c r="AY36" t="s">
        <v>74</v>
      </c>
      <c r="AZ36" t="s">
        <v>74</v>
      </c>
      <c r="BA36" t="s">
        <v>74</v>
      </c>
      <c r="BB36">
        <v>2851</v>
      </c>
      <c r="BC36">
        <v>2858</v>
      </c>
      <c r="BD36" t="s">
        <v>74</v>
      </c>
      <c r="BE36" t="s">
        <v>793</v>
      </c>
      <c r="BF36" t="str">
        <f>HYPERLINK("http://dx.doi.org/10.1242/jeb.001230","http://dx.doi.org/10.1242/jeb.001230")</f>
        <v>http://dx.doi.org/10.1242/jeb.001230</v>
      </c>
      <c r="BG36" t="s">
        <v>74</v>
      </c>
      <c r="BH36" t="s">
        <v>74</v>
      </c>
      <c r="BI36">
        <v>8</v>
      </c>
      <c r="BJ36" t="s">
        <v>794</v>
      </c>
      <c r="BK36" t="s">
        <v>98</v>
      </c>
      <c r="BL36" t="s">
        <v>795</v>
      </c>
      <c r="BM36" t="s">
        <v>796</v>
      </c>
      <c r="BN36">
        <v>17690233</v>
      </c>
      <c r="BO36" t="s">
        <v>797</v>
      </c>
      <c r="BP36" t="s">
        <v>74</v>
      </c>
      <c r="BQ36" t="s">
        <v>74</v>
      </c>
      <c r="BR36" t="s">
        <v>101</v>
      </c>
      <c r="BS36" t="s">
        <v>798</v>
      </c>
      <c r="BT36" t="str">
        <f>HYPERLINK("https%3A%2F%2Fwww.webofscience.com%2Fwos%2Fwoscc%2Ffull-record%2FWOS:000249517200015","View Full Record in Web of Science")</f>
        <v>View Full Record in Web of Science</v>
      </c>
    </row>
    <row r="37" spans="1:72" x14ac:dyDescent="0.15">
      <c r="A37" t="s">
        <v>72</v>
      </c>
      <c r="B37" t="s">
        <v>799</v>
      </c>
      <c r="C37" t="s">
        <v>74</v>
      </c>
      <c r="D37" t="s">
        <v>74</v>
      </c>
      <c r="E37" t="s">
        <v>74</v>
      </c>
      <c r="F37" t="s">
        <v>800</v>
      </c>
      <c r="G37" t="s">
        <v>74</v>
      </c>
      <c r="H37" t="s">
        <v>74</v>
      </c>
      <c r="I37" t="s">
        <v>801</v>
      </c>
      <c r="J37" t="s">
        <v>802</v>
      </c>
      <c r="K37" t="s">
        <v>74</v>
      </c>
      <c r="L37" t="s">
        <v>74</v>
      </c>
      <c r="M37" t="s">
        <v>78</v>
      </c>
      <c r="N37" t="s">
        <v>79</v>
      </c>
      <c r="O37" t="s">
        <v>74</v>
      </c>
      <c r="P37" t="s">
        <v>74</v>
      </c>
      <c r="Q37" t="s">
        <v>74</v>
      </c>
      <c r="R37" t="s">
        <v>74</v>
      </c>
      <c r="S37" t="s">
        <v>74</v>
      </c>
      <c r="T37" t="s">
        <v>803</v>
      </c>
      <c r="U37" t="s">
        <v>804</v>
      </c>
      <c r="V37" t="s">
        <v>805</v>
      </c>
      <c r="W37" t="s">
        <v>806</v>
      </c>
      <c r="X37" t="s">
        <v>807</v>
      </c>
      <c r="Y37" t="s">
        <v>808</v>
      </c>
      <c r="Z37" t="s">
        <v>809</v>
      </c>
      <c r="AA37" t="s">
        <v>810</v>
      </c>
      <c r="AB37" t="s">
        <v>811</v>
      </c>
      <c r="AC37" t="s">
        <v>74</v>
      </c>
      <c r="AD37" t="s">
        <v>74</v>
      </c>
      <c r="AE37" t="s">
        <v>74</v>
      </c>
      <c r="AF37" t="s">
        <v>74</v>
      </c>
      <c r="AG37">
        <v>33</v>
      </c>
      <c r="AH37">
        <v>30</v>
      </c>
      <c r="AI37">
        <v>34</v>
      </c>
      <c r="AJ37">
        <v>0</v>
      </c>
      <c r="AK37">
        <v>7</v>
      </c>
      <c r="AL37" t="s">
        <v>592</v>
      </c>
      <c r="AM37" t="s">
        <v>273</v>
      </c>
      <c r="AN37" t="s">
        <v>593</v>
      </c>
      <c r="AO37" t="s">
        <v>812</v>
      </c>
      <c r="AP37" t="s">
        <v>813</v>
      </c>
      <c r="AQ37" t="s">
        <v>74</v>
      </c>
      <c r="AR37" t="s">
        <v>814</v>
      </c>
      <c r="AS37" t="s">
        <v>815</v>
      </c>
      <c r="AT37" t="s">
        <v>664</v>
      </c>
      <c r="AU37">
        <v>2007</v>
      </c>
      <c r="AV37">
        <v>200</v>
      </c>
      <c r="AW37" t="s">
        <v>686</v>
      </c>
      <c r="AX37" t="s">
        <v>74</v>
      </c>
      <c r="AY37" t="s">
        <v>74</v>
      </c>
      <c r="AZ37" t="s">
        <v>74</v>
      </c>
      <c r="BA37" t="s">
        <v>74</v>
      </c>
      <c r="BB37">
        <v>155</v>
      </c>
      <c r="BC37">
        <v>165</v>
      </c>
      <c r="BD37" t="s">
        <v>74</v>
      </c>
      <c r="BE37" t="s">
        <v>816</v>
      </c>
      <c r="BF37" t="str">
        <f>HYPERLINK("http://dx.doi.org/10.1016/j.sedgeo.2006.10.009","http://dx.doi.org/10.1016/j.sedgeo.2006.10.009")</f>
        <v>http://dx.doi.org/10.1016/j.sedgeo.2006.10.009</v>
      </c>
      <c r="BG37" t="s">
        <v>74</v>
      </c>
      <c r="BH37" t="s">
        <v>74</v>
      </c>
      <c r="BI37">
        <v>11</v>
      </c>
      <c r="BJ37" t="s">
        <v>152</v>
      </c>
      <c r="BK37" t="s">
        <v>98</v>
      </c>
      <c r="BL37" t="s">
        <v>152</v>
      </c>
      <c r="BM37" t="s">
        <v>817</v>
      </c>
      <c r="BN37" t="s">
        <v>74</v>
      </c>
      <c r="BO37" t="s">
        <v>74</v>
      </c>
      <c r="BP37" t="s">
        <v>74</v>
      </c>
      <c r="BQ37" t="s">
        <v>74</v>
      </c>
      <c r="BR37" t="s">
        <v>101</v>
      </c>
      <c r="BS37" t="s">
        <v>818</v>
      </c>
      <c r="BT37" t="str">
        <f>HYPERLINK("https%3A%2F%2Fwww.webofscience.com%2Fwos%2Fwoscc%2Ffull-record%2FWOS:000249184600002","View Full Record in Web of Science")</f>
        <v>View Full Record in Web of Science</v>
      </c>
    </row>
    <row r="38" spans="1:72" x14ac:dyDescent="0.15">
      <c r="A38" t="s">
        <v>72</v>
      </c>
      <c r="B38" t="s">
        <v>819</v>
      </c>
      <c r="C38" t="s">
        <v>74</v>
      </c>
      <c r="D38" t="s">
        <v>74</v>
      </c>
      <c r="E38" t="s">
        <v>74</v>
      </c>
      <c r="F38" t="s">
        <v>820</v>
      </c>
      <c r="G38" t="s">
        <v>74</v>
      </c>
      <c r="H38" t="s">
        <v>74</v>
      </c>
      <c r="I38" t="s">
        <v>821</v>
      </c>
      <c r="J38" t="s">
        <v>130</v>
      </c>
      <c r="K38" t="s">
        <v>74</v>
      </c>
      <c r="L38" t="s">
        <v>74</v>
      </c>
      <c r="M38" t="s">
        <v>78</v>
      </c>
      <c r="N38" t="s">
        <v>79</v>
      </c>
      <c r="O38" t="s">
        <v>74</v>
      </c>
      <c r="P38" t="s">
        <v>74</v>
      </c>
      <c r="Q38" t="s">
        <v>74</v>
      </c>
      <c r="R38" t="s">
        <v>74</v>
      </c>
      <c r="S38" t="s">
        <v>74</v>
      </c>
      <c r="T38" t="s">
        <v>74</v>
      </c>
      <c r="U38" t="s">
        <v>822</v>
      </c>
      <c r="V38" t="s">
        <v>823</v>
      </c>
      <c r="W38" t="s">
        <v>824</v>
      </c>
      <c r="X38" t="s">
        <v>825</v>
      </c>
      <c r="Y38" t="s">
        <v>826</v>
      </c>
      <c r="Z38" t="s">
        <v>74</v>
      </c>
      <c r="AA38" t="s">
        <v>827</v>
      </c>
      <c r="AB38" t="s">
        <v>828</v>
      </c>
      <c r="AC38" t="s">
        <v>167</v>
      </c>
      <c r="AD38" t="s">
        <v>140</v>
      </c>
      <c r="AE38" t="s">
        <v>74</v>
      </c>
      <c r="AF38" t="s">
        <v>74</v>
      </c>
      <c r="AG38">
        <v>21</v>
      </c>
      <c r="AH38">
        <v>68</v>
      </c>
      <c r="AI38">
        <v>75</v>
      </c>
      <c r="AJ38">
        <v>0</v>
      </c>
      <c r="AK38">
        <v>3</v>
      </c>
      <c r="AL38" t="s">
        <v>141</v>
      </c>
      <c r="AM38" t="s">
        <v>142</v>
      </c>
      <c r="AN38" t="s">
        <v>143</v>
      </c>
      <c r="AO38" t="s">
        <v>144</v>
      </c>
      <c r="AP38" t="s">
        <v>145</v>
      </c>
      <c r="AQ38" t="s">
        <v>74</v>
      </c>
      <c r="AR38" t="s">
        <v>146</v>
      </c>
      <c r="AS38" t="s">
        <v>147</v>
      </c>
      <c r="AT38" t="s">
        <v>829</v>
      </c>
      <c r="AU38">
        <v>2007</v>
      </c>
      <c r="AV38">
        <v>34</v>
      </c>
      <c r="AW38">
        <v>15</v>
      </c>
      <c r="AX38" t="s">
        <v>74</v>
      </c>
      <c r="AY38" t="s">
        <v>74</v>
      </c>
      <c r="AZ38" t="s">
        <v>74</v>
      </c>
      <c r="BA38" t="s">
        <v>74</v>
      </c>
      <c r="BB38" t="s">
        <v>74</v>
      </c>
      <c r="BC38" t="s">
        <v>74</v>
      </c>
      <c r="BD38" t="s">
        <v>830</v>
      </c>
      <c r="BE38" t="s">
        <v>831</v>
      </c>
      <c r="BF38" t="str">
        <f>HYPERLINK("http://dx.doi.org/10.1029/2007GL030040","http://dx.doi.org/10.1029/2007GL030040")</f>
        <v>http://dx.doi.org/10.1029/2007GL030040</v>
      </c>
      <c r="BG38" t="s">
        <v>74</v>
      </c>
      <c r="BH38" t="s">
        <v>74</v>
      </c>
      <c r="BI38">
        <v>5</v>
      </c>
      <c r="BJ38" t="s">
        <v>151</v>
      </c>
      <c r="BK38" t="s">
        <v>98</v>
      </c>
      <c r="BL38" t="s">
        <v>152</v>
      </c>
      <c r="BM38" t="s">
        <v>832</v>
      </c>
      <c r="BN38" t="s">
        <v>74</v>
      </c>
      <c r="BO38" t="s">
        <v>833</v>
      </c>
      <c r="BP38" t="s">
        <v>74</v>
      </c>
      <c r="BQ38" t="s">
        <v>74</v>
      </c>
      <c r="BR38" t="s">
        <v>101</v>
      </c>
      <c r="BS38" t="s">
        <v>834</v>
      </c>
      <c r="BT38" t="str">
        <f>HYPERLINK("https%3A%2F%2Fwww.webofscience.com%2Fwos%2Fwoscc%2Ffull-record%2FWOS:000248896200001","View Full Record in Web of Science")</f>
        <v>View Full Record in Web of Science</v>
      </c>
    </row>
    <row r="39" spans="1:72" x14ac:dyDescent="0.15">
      <c r="A39" t="s">
        <v>72</v>
      </c>
      <c r="B39" t="s">
        <v>835</v>
      </c>
      <c r="C39" t="s">
        <v>74</v>
      </c>
      <c r="D39" t="s">
        <v>74</v>
      </c>
      <c r="E39" t="s">
        <v>74</v>
      </c>
      <c r="F39" t="s">
        <v>836</v>
      </c>
      <c r="G39" t="s">
        <v>74</v>
      </c>
      <c r="H39" t="s">
        <v>74</v>
      </c>
      <c r="I39" t="s">
        <v>837</v>
      </c>
      <c r="J39" t="s">
        <v>470</v>
      </c>
      <c r="K39" t="s">
        <v>74</v>
      </c>
      <c r="L39" t="s">
        <v>74</v>
      </c>
      <c r="M39" t="s">
        <v>78</v>
      </c>
      <c r="N39" t="s">
        <v>79</v>
      </c>
      <c r="O39" t="s">
        <v>74</v>
      </c>
      <c r="P39" t="s">
        <v>74</v>
      </c>
      <c r="Q39" t="s">
        <v>74</v>
      </c>
      <c r="R39" t="s">
        <v>74</v>
      </c>
      <c r="S39" t="s">
        <v>74</v>
      </c>
      <c r="T39" t="s">
        <v>838</v>
      </c>
      <c r="U39" t="s">
        <v>839</v>
      </c>
      <c r="V39" t="s">
        <v>840</v>
      </c>
      <c r="W39" t="s">
        <v>841</v>
      </c>
      <c r="X39" t="s">
        <v>842</v>
      </c>
      <c r="Y39" t="s">
        <v>843</v>
      </c>
      <c r="Z39" t="s">
        <v>844</v>
      </c>
      <c r="AA39" t="s">
        <v>74</v>
      </c>
      <c r="AB39" t="s">
        <v>74</v>
      </c>
      <c r="AC39" t="s">
        <v>74</v>
      </c>
      <c r="AD39" t="s">
        <v>74</v>
      </c>
      <c r="AE39" t="s">
        <v>74</v>
      </c>
      <c r="AF39" t="s">
        <v>74</v>
      </c>
      <c r="AG39">
        <v>33</v>
      </c>
      <c r="AH39">
        <v>89</v>
      </c>
      <c r="AI39">
        <v>105</v>
      </c>
      <c r="AJ39">
        <v>3</v>
      </c>
      <c r="AK39">
        <v>55</v>
      </c>
      <c r="AL39" t="s">
        <v>481</v>
      </c>
      <c r="AM39" t="s">
        <v>142</v>
      </c>
      <c r="AN39" t="s">
        <v>482</v>
      </c>
      <c r="AO39" t="s">
        <v>483</v>
      </c>
      <c r="AP39" t="s">
        <v>74</v>
      </c>
      <c r="AQ39" t="s">
        <v>74</v>
      </c>
      <c r="AR39" t="s">
        <v>484</v>
      </c>
      <c r="AS39" t="s">
        <v>485</v>
      </c>
      <c r="AT39" t="s">
        <v>829</v>
      </c>
      <c r="AU39">
        <v>2007</v>
      </c>
      <c r="AV39">
        <v>104</v>
      </c>
      <c r="AW39">
        <v>33</v>
      </c>
      <c r="AX39" t="s">
        <v>74</v>
      </c>
      <c r="AY39" t="s">
        <v>74</v>
      </c>
      <c r="AZ39" t="s">
        <v>74</v>
      </c>
      <c r="BA39" t="s">
        <v>74</v>
      </c>
      <c r="BB39">
        <v>13455</v>
      </c>
      <c r="BC39">
        <v>13460</v>
      </c>
      <c r="BD39" t="s">
        <v>74</v>
      </c>
      <c r="BE39" t="s">
        <v>845</v>
      </c>
      <c r="BF39" t="str">
        <f>HYPERLINK("http://dx.doi.org/10.1073/pnas.0702196104","http://dx.doi.org/10.1073/pnas.0702196104")</f>
        <v>http://dx.doi.org/10.1073/pnas.0702196104</v>
      </c>
      <c r="BG39" t="s">
        <v>74</v>
      </c>
      <c r="BH39" t="s">
        <v>74</v>
      </c>
      <c r="BI39">
        <v>6</v>
      </c>
      <c r="BJ39" t="s">
        <v>241</v>
      </c>
      <c r="BK39" t="s">
        <v>98</v>
      </c>
      <c r="BL39" t="s">
        <v>242</v>
      </c>
      <c r="BM39" t="s">
        <v>846</v>
      </c>
      <c r="BN39">
        <v>17686983</v>
      </c>
      <c r="BO39" t="s">
        <v>198</v>
      </c>
      <c r="BP39" t="s">
        <v>74</v>
      </c>
      <c r="BQ39" t="s">
        <v>74</v>
      </c>
      <c r="BR39" t="s">
        <v>101</v>
      </c>
      <c r="BS39" t="s">
        <v>847</v>
      </c>
      <c r="BT39" t="str">
        <f>HYPERLINK("https%3A%2F%2Fwww.webofscience.com%2Fwos%2Fwoscc%2Ffull-record%2FWOS:000248899600044","View Full Record in Web of Science")</f>
        <v>View Full Record in Web of Science</v>
      </c>
    </row>
    <row r="40" spans="1:72" x14ac:dyDescent="0.15">
      <c r="A40" t="s">
        <v>72</v>
      </c>
      <c r="B40" t="s">
        <v>848</v>
      </c>
      <c r="C40" t="s">
        <v>74</v>
      </c>
      <c r="D40" t="s">
        <v>74</v>
      </c>
      <c r="E40" t="s">
        <v>74</v>
      </c>
      <c r="F40" t="s">
        <v>849</v>
      </c>
      <c r="G40" t="s">
        <v>74</v>
      </c>
      <c r="H40" t="s">
        <v>74</v>
      </c>
      <c r="I40" t="s">
        <v>850</v>
      </c>
      <c r="J40" t="s">
        <v>130</v>
      </c>
      <c r="K40" t="s">
        <v>74</v>
      </c>
      <c r="L40" t="s">
        <v>74</v>
      </c>
      <c r="M40" t="s">
        <v>78</v>
      </c>
      <c r="N40" t="s">
        <v>79</v>
      </c>
      <c r="O40" t="s">
        <v>74</v>
      </c>
      <c r="P40" t="s">
        <v>74</v>
      </c>
      <c r="Q40" t="s">
        <v>74</v>
      </c>
      <c r="R40" t="s">
        <v>74</v>
      </c>
      <c r="S40" t="s">
        <v>74</v>
      </c>
      <c r="T40" t="s">
        <v>74</v>
      </c>
      <c r="U40" t="s">
        <v>851</v>
      </c>
      <c r="V40" t="s">
        <v>852</v>
      </c>
      <c r="W40" t="s">
        <v>853</v>
      </c>
      <c r="X40" t="s">
        <v>854</v>
      </c>
      <c r="Y40" t="s">
        <v>855</v>
      </c>
      <c r="Z40" t="s">
        <v>856</v>
      </c>
      <c r="AA40" t="s">
        <v>74</v>
      </c>
      <c r="AB40" t="s">
        <v>74</v>
      </c>
      <c r="AC40" t="s">
        <v>74</v>
      </c>
      <c r="AD40" t="s">
        <v>74</v>
      </c>
      <c r="AE40" t="s">
        <v>74</v>
      </c>
      <c r="AF40" t="s">
        <v>74</v>
      </c>
      <c r="AG40">
        <v>29</v>
      </c>
      <c r="AH40">
        <v>21</v>
      </c>
      <c r="AI40">
        <v>21</v>
      </c>
      <c r="AJ40">
        <v>1</v>
      </c>
      <c r="AK40">
        <v>4</v>
      </c>
      <c r="AL40" t="s">
        <v>141</v>
      </c>
      <c r="AM40" t="s">
        <v>142</v>
      </c>
      <c r="AN40" t="s">
        <v>143</v>
      </c>
      <c r="AO40" t="s">
        <v>144</v>
      </c>
      <c r="AP40" t="s">
        <v>145</v>
      </c>
      <c r="AQ40" t="s">
        <v>74</v>
      </c>
      <c r="AR40" t="s">
        <v>146</v>
      </c>
      <c r="AS40" t="s">
        <v>147</v>
      </c>
      <c r="AT40" t="s">
        <v>857</v>
      </c>
      <c r="AU40">
        <v>2007</v>
      </c>
      <c r="AV40">
        <v>34</v>
      </c>
      <c r="AW40">
        <v>15</v>
      </c>
      <c r="AX40" t="s">
        <v>74</v>
      </c>
      <c r="AY40" t="s">
        <v>74</v>
      </c>
      <c r="AZ40" t="s">
        <v>74</v>
      </c>
      <c r="BA40" t="s">
        <v>74</v>
      </c>
      <c r="BB40" t="s">
        <v>74</v>
      </c>
      <c r="BC40" t="s">
        <v>74</v>
      </c>
      <c r="BD40" t="s">
        <v>858</v>
      </c>
      <c r="BE40" t="s">
        <v>859</v>
      </c>
      <c r="BF40" t="str">
        <f>HYPERLINK("http://dx.doi.org/10.1029/2007GL030801","http://dx.doi.org/10.1029/2007GL030801")</f>
        <v>http://dx.doi.org/10.1029/2007GL030801</v>
      </c>
      <c r="BG40" t="s">
        <v>74</v>
      </c>
      <c r="BH40" t="s">
        <v>74</v>
      </c>
      <c r="BI40">
        <v>5</v>
      </c>
      <c r="BJ40" t="s">
        <v>151</v>
      </c>
      <c r="BK40" t="s">
        <v>98</v>
      </c>
      <c r="BL40" t="s">
        <v>152</v>
      </c>
      <c r="BM40" t="s">
        <v>860</v>
      </c>
      <c r="BN40" t="s">
        <v>74</v>
      </c>
      <c r="BO40" t="s">
        <v>198</v>
      </c>
      <c r="BP40" t="s">
        <v>74</v>
      </c>
      <c r="BQ40" t="s">
        <v>74</v>
      </c>
      <c r="BR40" t="s">
        <v>101</v>
      </c>
      <c r="BS40" t="s">
        <v>861</v>
      </c>
      <c r="BT40" t="str">
        <f>HYPERLINK("https%3A%2F%2Fwww.webofscience.com%2Fwos%2Fwoscc%2Ffull-record%2FWOS:000248872100006","View Full Record in Web of Science")</f>
        <v>View Full Record in Web of Science</v>
      </c>
    </row>
    <row r="41" spans="1:72" x14ac:dyDescent="0.15">
      <c r="A41" t="s">
        <v>72</v>
      </c>
      <c r="B41" t="s">
        <v>862</v>
      </c>
      <c r="C41" t="s">
        <v>74</v>
      </c>
      <c r="D41" t="s">
        <v>74</v>
      </c>
      <c r="E41" t="s">
        <v>74</v>
      </c>
      <c r="F41" t="s">
        <v>863</v>
      </c>
      <c r="G41" t="s">
        <v>74</v>
      </c>
      <c r="H41" t="s">
        <v>74</v>
      </c>
      <c r="I41" t="s">
        <v>864</v>
      </c>
      <c r="J41" t="s">
        <v>865</v>
      </c>
      <c r="K41" t="s">
        <v>74</v>
      </c>
      <c r="L41" t="s">
        <v>74</v>
      </c>
      <c r="M41" t="s">
        <v>78</v>
      </c>
      <c r="N41" t="s">
        <v>79</v>
      </c>
      <c r="O41" t="s">
        <v>74</v>
      </c>
      <c r="P41" t="s">
        <v>74</v>
      </c>
      <c r="Q41" t="s">
        <v>74</v>
      </c>
      <c r="R41" t="s">
        <v>74</v>
      </c>
      <c r="S41" t="s">
        <v>74</v>
      </c>
      <c r="T41" t="s">
        <v>866</v>
      </c>
      <c r="U41" t="s">
        <v>867</v>
      </c>
      <c r="V41" t="s">
        <v>868</v>
      </c>
      <c r="W41" t="s">
        <v>869</v>
      </c>
      <c r="X41" t="s">
        <v>870</v>
      </c>
      <c r="Y41" t="s">
        <v>871</v>
      </c>
      <c r="Z41" t="s">
        <v>872</v>
      </c>
      <c r="AA41" t="s">
        <v>873</v>
      </c>
      <c r="AB41" t="s">
        <v>874</v>
      </c>
      <c r="AC41" t="s">
        <v>74</v>
      </c>
      <c r="AD41" t="s">
        <v>74</v>
      </c>
      <c r="AE41" t="s">
        <v>74</v>
      </c>
      <c r="AF41" t="s">
        <v>74</v>
      </c>
      <c r="AG41">
        <v>42</v>
      </c>
      <c r="AH41">
        <v>29</v>
      </c>
      <c r="AI41">
        <v>30</v>
      </c>
      <c r="AJ41">
        <v>0</v>
      </c>
      <c r="AK41">
        <v>4</v>
      </c>
      <c r="AL41" t="s">
        <v>875</v>
      </c>
      <c r="AM41" t="s">
        <v>876</v>
      </c>
      <c r="AN41" t="s">
        <v>877</v>
      </c>
      <c r="AO41" t="s">
        <v>878</v>
      </c>
      <c r="AP41" t="s">
        <v>74</v>
      </c>
      <c r="AQ41" t="s">
        <v>74</v>
      </c>
      <c r="AR41" t="s">
        <v>879</v>
      </c>
      <c r="AS41" t="s">
        <v>880</v>
      </c>
      <c r="AT41" t="s">
        <v>881</v>
      </c>
      <c r="AU41">
        <v>2007</v>
      </c>
      <c r="AV41">
        <v>665</v>
      </c>
      <c r="AW41">
        <v>1</v>
      </c>
      <c r="AX41">
        <v>1</v>
      </c>
      <c r="AY41" t="s">
        <v>74</v>
      </c>
      <c r="AZ41" t="s">
        <v>74</v>
      </c>
      <c r="BA41" t="s">
        <v>74</v>
      </c>
      <c r="BB41">
        <v>813</v>
      </c>
      <c r="BC41">
        <v>823</v>
      </c>
      <c r="BD41" t="s">
        <v>74</v>
      </c>
      <c r="BE41" t="s">
        <v>882</v>
      </c>
      <c r="BF41" t="str">
        <f>HYPERLINK("http://dx.doi.org/10.1086/519514","http://dx.doi.org/10.1086/519514")</f>
        <v>http://dx.doi.org/10.1086/519514</v>
      </c>
      <c r="BG41" t="s">
        <v>74</v>
      </c>
      <c r="BH41" t="s">
        <v>74</v>
      </c>
      <c r="BI41">
        <v>11</v>
      </c>
      <c r="BJ41" t="s">
        <v>175</v>
      </c>
      <c r="BK41" t="s">
        <v>98</v>
      </c>
      <c r="BL41" t="s">
        <v>175</v>
      </c>
      <c r="BM41" t="s">
        <v>883</v>
      </c>
      <c r="BN41" t="s">
        <v>74</v>
      </c>
      <c r="BO41" t="s">
        <v>154</v>
      </c>
      <c r="BP41" t="s">
        <v>74</v>
      </c>
      <c r="BQ41" t="s">
        <v>74</v>
      </c>
      <c r="BR41" t="s">
        <v>101</v>
      </c>
      <c r="BS41" t="s">
        <v>884</v>
      </c>
      <c r="BT41" t="str">
        <f>HYPERLINK("https%3A%2F%2Fwww.webofscience.com%2Fwos%2Fwoscc%2Ffull-record%2FWOS:000248675700063","View Full Record in Web of Science")</f>
        <v>View Full Record in Web of Science</v>
      </c>
    </row>
    <row r="42" spans="1:72" x14ac:dyDescent="0.15">
      <c r="A42" t="s">
        <v>72</v>
      </c>
      <c r="B42" t="s">
        <v>885</v>
      </c>
      <c r="C42" t="s">
        <v>74</v>
      </c>
      <c r="D42" t="s">
        <v>74</v>
      </c>
      <c r="E42" t="s">
        <v>74</v>
      </c>
      <c r="F42" t="s">
        <v>886</v>
      </c>
      <c r="G42" t="s">
        <v>74</v>
      </c>
      <c r="H42" t="s">
        <v>74</v>
      </c>
      <c r="I42" t="s">
        <v>887</v>
      </c>
      <c r="J42" t="s">
        <v>228</v>
      </c>
      <c r="K42" t="s">
        <v>74</v>
      </c>
      <c r="L42" t="s">
        <v>74</v>
      </c>
      <c r="M42" t="s">
        <v>78</v>
      </c>
      <c r="N42" t="s">
        <v>79</v>
      </c>
      <c r="O42" t="s">
        <v>74</v>
      </c>
      <c r="P42" t="s">
        <v>74</v>
      </c>
      <c r="Q42" t="s">
        <v>74</v>
      </c>
      <c r="R42" t="s">
        <v>74</v>
      </c>
      <c r="S42" t="s">
        <v>74</v>
      </c>
      <c r="T42" t="s">
        <v>74</v>
      </c>
      <c r="U42" t="s">
        <v>888</v>
      </c>
      <c r="V42" t="s">
        <v>74</v>
      </c>
      <c r="W42" t="s">
        <v>889</v>
      </c>
      <c r="X42" t="s">
        <v>890</v>
      </c>
      <c r="Y42" t="s">
        <v>891</v>
      </c>
      <c r="Z42" t="s">
        <v>233</v>
      </c>
      <c r="AA42" t="s">
        <v>74</v>
      </c>
      <c r="AB42" t="s">
        <v>74</v>
      </c>
      <c r="AC42" t="s">
        <v>74</v>
      </c>
      <c r="AD42" t="s">
        <v>74</v>
      </c>
      <c r="AE42" t="s">
        <v>74</v>
      </c>
      <c r="AF42" t="s">
        <v>74</v>
      </c>
      <c r="AG42">
        <v>7</v>
      </c>
      <c r="AH42">
        <v>1</v>
      </c>
      <c r="AI42">
        <v>2</v>
      </c>
      <c r="AJ42">
        <v>0</v>
      </c>
      <c r="AK42">
        <v>2</v>
      </c>
      <c r="AL42" t="s">
        <v>234</v>
      </c>
      <c r="AM42" t="s">
        <v>235</v>
      </c>
      <c r="AN42" t="s">
        <v>236</v>
      </c>
      <c r="AO42" t="s">
        <v>237</v>
      </c>
      <c r="AP42" t="s">
        <v>74</v>
      </c>
      <c r="AQ42" t="s">
        <v>74</v>
      </c>
      <c r="AR42" t="s">
        <v>238</v>
      </c>
      <c r="AS42" t="s">
        <v>239</v>
      </c>
      <c r="AT42" t="s">
        <v>881</v>
      </c>
      <c r="AU42">
        <v>2007</v>
      </c>
      <c r="AV42">
        <v>93</v>
      </c>
      <c r="AW42">
        <v>3</v>
      </c>
      <c r="AX42" t="s">
        <v>74</v>
      </c>
      <c r="AY42" t="s">
        <v>74</v>
      </c>
      <c r="AZ42" t="s">
        <v>74</v>
      </c>
      <c r="BA42" t="s">
        <v>74</v>
      </c>
      <c r="BB42">
        <v>292</v>
      </c>
      <c r="BC42">
        <v>294</v>
      </c>
      <c r="BD42" t="s">
        <v>74</v>
      </c>
      <c r="BE42" t="s">
        <v>74</v>
      </c>
      <c r="BF42" t="s">
        <v>74</v>
      </c>
      <c r="BG42" t="s">
        <v>74</v>
      </c>
      <c r="BH42" t="s">
        <v>74</v>
      </c>
      <c r="BI42">
        <v>3</v>
      </c>
      <c r="BJ42" t="s">
        <v>241</v>
      </c>
      <c r="BK42" t="s">
        <v>98</v>
      </c>
      <c r="BL42" t="s">
        <v>242</v>
      </c>
      <c r="BM42" t="s">
        <v>892</v>
      </c>
      <c r="BN42" t="s">
        <v>74</v>
      </c>
      <c r="BO42" t="s">
        <v>74</v>
      </c>
      <c r="BP42" t="s">
        <v>74</v>
      </c>
      <c r="BQ42" t="s">
        <v>74</v>
      </c>
      <c r="BR42" t="s">
        <v>101</v>
      </c>
      <c r="BS42" t="s">
        <v>893</v>
      </c>
      <c r="BT42" t="str">
        <f>HYPERLINK("https%3A%2F%2Fwww.webofscience.com%2Fwos%2Fwoscc%2Ffull-record%2FWOS:000249135300014","View Full Record in Web of Science")</f>
        <v>View Full Record in Web of Science</v>
      </c>
    </row>
    <row r="43" spans="1:72" x14ac:dyDescent="0.15">
      <c r="A43" t="s">
        <v>72</v>
      </c>
      <c r="B43" t="s">
        <v>894</v>
      </c>
      <c r="C43" t="s">
        <v>74</v>
      </c>
      <c r="D43" t="s">
        <v>74</v>
      </c>
      <c r="E43" t="s">
        <v>74</v>
      </c>
      <c r="F43" t="s">
        <v>895</v>
      </c>
      <c r="G43" t="s">
        <v>74</v>
      </c>
      <c r="H43" t="s">
        <v>74</v>
      </c>
      <c r="I43" t="s">
        <v>896</v>
      </c>
      <c r="J43" t="s">
        <v>897</v>
      </c>
      <c r="K43" t="s">
        <v>74</v>
      </c>
      <c r="L43" t="s">
        <v>74</v>
      </c>
      <c r="M43" t="s">
        <v>78</v>
      </c>
      <c r="N43" t="s">
        <v>79</v>
      </c>
      <c r="O43" t="s">
        <v>74</v>
      </c>
      <c r="P43" t="s">
        <v>74</v>
      </c>
      <c r="Q43" t="s">
        <v>74</v>
      </c>
      <c r="R43" t="s">
        <v>74</v>
      </c>
      <c r="S43" t="s">
        <v>74</v>
      </c>
      <c r="T43" t="s">
        <v>898</v>
      </c>
      <c r="U43" t="s">
        <v>899</v>
      </c>
      <c r="V43" t="s">
        <v>900</v>
      </c>
      <c r="W43" t="s">
        <v>901</v>
      </c>
      <c r="X43" t="s">
        <v>902</v>
      </c>
      <c r="Y43" t="s">
        <v>903</v>
      </c>
      <c r="Z43" t="s">
        <v>904</v>
      </c>
      <c r="AA43" t="s">
        <v>74</v>
      </c>
      <c r="AB43" t="s">
        <v>74</v>
      </c>
      <c r="AC43" t="s">
        <v>74</v>
      </c>
      <c r="AD43" t="s">
        <v>74</v>
      </c>
      <c r="AE43" t="s">
        <v>74</v>
      </c>
      <c r="AF43" t="s">
        <v>74</v>
      </c>
      <c r="AG43">
        <v>24</v>
      </c>
      <c r="AH43">
        <v>3</v>
      </c>
      <c r="AI43">
        <v>3</v>
      </c>
      <c r="AJ43">
        <v>0</v>
      </c>
      <c r="AK43">
        <v>0</v>
      </c>
      <c r="AL43" t="s">
        <v>272</v>
      </c>
      <c r="AM43" t="s">
        <v>273</v>
      </c>
      <c r="AN43" t="s">
        <v>274</v>
      </c>
      <c r="AO43" t="s">
        <v>905</v>
      </c>
      <c r="AP43" t="s">
        <v>906</v>
      </c>
      <c r="AQ43" t="s">
        <v>74</v>
      </c>
      <c r="AR43" t="s">
        <v>907</v>
      </c>
      <c r="AS43" t="s">
        <v>908</v>
      </c>
      <c r="AT43" t="s">
        <v>881</v>
      </c>
      <c r="AU43">
        <v>2007</v>
      </c>
      <c r="AV43">
        <v>206</v>
      </c>
      <c r="AW43" t="s">
        <v>280</v>
      </c>
      <c r="AX43" t="s">
        <v>74</v>
      </c>
      <c r="AY43" t="s">
        <v>74</v>
      </c>
      <c r="AZ43" t="s">
        <v>74</v>
      </c>
      <c r="BA43" t="s">
        <v>74</v>
      </c>
      <c r="BB43">
        <v>79</v>
      </c>
      <c r="BC43">
        <v>92</v>
      </c>
      <c r="BD43" t="s">
        <v>74</v>
      </c>
      <c r="BE43" t="s">
        <v>909</v>
      </c>
      <c r="BF43" t="str">
        <f>HYPERLINK("http://dx.doi.org/10.1016/j.ecolmodel.2007.03.021","http://dx.doi.org/10.1016/j.ecolmodel.2007.03.021")</f>
        <v>http://dx.doi.org/10.1016/j.ecolmodel.2007.03.021</v>
      </c>
      <c r="BG43" t="s">
        <v>74</v>
      </c>
      <c r="BH43" t="s">
        <v>74</v>
      </c>
      <c r="BI43">
        <v>14</v>
      </c>
      <c r="BJ43" t="s">
        <v>910</v>
      </c>
      <c r="BK43" t="s">
        <v>98</v>
      </c>
      <c r="BL43" t="s">
        <v>911</v>
      </c>
      <c r="BM43" t="s">
        <v>912</v>
      </c>
      <c r="BN43" t="s">
        <v>74</v>
      </c>
      <c r="BO43" t="s">
        <v>74</v>
      </c>
      <c r="BP43" t="s">
        <v>74</v>
      </c>
      <c r="BQ43" t="s">
        <v>74</v>
      </c>
      <c r="BR43" t="s">
        <v>101</v>
      </c>
      <c r="BS43" t="s">
        <v>913</v>
      </c>
      <c r="BT43" t="str">
        <f>HYPERLINK("https%3A%2F%2Fwww.webofscience.com%2Fwos%2Fwoscc%2Ffull-record%2FWOS:000248231500007","View Full Record in Web of Science")</f>
        <v>View Full Record in Web of Science</v>
      </c>
    </row>
    <row r="44" spans="1:72" x14ac:dyDescent="0.15">
      <c r="A44" t="s">
        <v>72</v>
      </c>
      <c r="B44" t="s">
        <v>914</v>
      </c>
      <c r="C44" t="s">
        <v>74</v>
      </c>
      <c r="D44" t="s">
        <v>74</v>
      </c>
      <c r="E44" t="s">
        <v>74</v>
      </c>
      <c r="F44" t="s">
        <v>915</v>
      </c>
      <c r="G44" t="s">
        <v>74</v>
      </c>
      <c r="H44" t="s">
        <v>74</v>
      </c>
      <c r="I44" t="s">
        <v>916</v>
      </c>
      <c r="J44" t="s">
        <v>130</v>
      </c>
      <c r="K44" t="s">
        <v>74</v>
      </c>
      <c r="L44" t="s">
        <v>74</v>
      </c>
      <c r="M44" t="s">
        <v>78</v>
      </c>
      <c r="N44" t="s">
        <v>79</v>
      </c>
      <c r="O44" t="s">
        <v>74</v>
      </c>
      <c r="P44" t="s">
        <v>74</v>
      </c>
      <c r="Q44" t="s">
        <v>74</v>
      </c>
      <c r="R44" t="s">
        <v>74</v>
      </c>
      <c r="S44" t="s">
        <v>74</v>
      </c>
      <c r="T44" t="s">
        <v>74</v>
      </c>
      <c r="U44" t="s">
        <v>917</v>
      </c>
      <c r="V44" t="s">
        <v>918</v>
      </c>
      <c r="W44" t="s">
        <v>919</v>
      </c>
      <c r="X44" t="s">
        <v>920</v>
      </c>
      <c r="Y44" t="s">
        <v>921</v>
      </c>
      <c r="Z44" t="s">
        <v>922</v>
      </c>
      <c r="AA44" t="s">
        <v>923</v>
      </c>
      <c r="AB44" t="s">
        <v>924</v>
      </c>
      <c r="AC44" t="s">
        <v>74</v>
      </c>
      <c r="AD44" t="s">
        <v>74</v>
      </c>
      <c r="AE44" t="s">
        <v>74</v>
      </c>
      <c r="AF44" t="s">
        <v>74</v>
      </c>
      <c r="AG44">
        <v>35</v>
      </c>
      <c r="AH44">
        <v>25</v>
      </c>
      <c r="AI44">
        <v>26</v>
      </c>
      <c r="AJ44">
        <v>0</v>
      </c>
      <c r="AK44">
        <v>8</v>
      </c>
      <c r="AL44" t="s">
        <v>141</v>
      </c>
      <c r="AM44" t="s">
        <v>142</v>
      </c>
      <c r="AN44" t="s">
        <v>143</v>
      </c>
      <c r="AO44" t="s">
        <v>144</v>
      </c>
      <c r="AP44" t="s">
        <v>145</v>
      </c>
      <c r="AQ44" t="s">
        <v>74</v>
      </c>
      <c r="AR44" t="s">
        <v>146</v>
      </c>
      <c r="AS44" t="s">
        <v>147</v>
      </c>
      <c r="AT44" t="s">
        <v>881</v>
      </c>
      <c r="AU44">
        <v>2007</v>
      </c>
      <c r="AV44">
        <v>34</v>
      </c>
      <c r="AW44">
        <v>15</v>
      </c>
      <c r="AX44" t="s">
        <v>74</v>
      </c>
      <c r="AY44" t="s">
        <v>74</v>
      </c>
      <c r="AZ44" t="s">
        <v>74</v>
      </c>
      <c r="BA44" t="s">
        <v>74</v>
      </c>
      <c r="BB44" t="s">
        <v>74</v>
      </c>
      <c r="BC44" t="s">
        <v>74</v>
      </c>
      <c r="BD44" t="s">
        <v>925</v>
      </c>
      <c r="BE44" t="s">
        <v>926</v>
      </c>
      <c r="BF44" t="str">
        <f>HYPERLINK("http://dx.doi.org/10.1029/2007GL030542","http://dx.doi.org/10.1029/2007GL030542")</f>
        <v>http://dx.doi.org/10.1029/2007GL030542</v>
      </c>
      <c r="BG44" t="s">
        <v>74</v>
      </c>
      <c r="BH44" t="s">
        <v>74</v>
      </c>
      <c r="BI44">
        <v>5</v>
      </c>
      <c r="BJ44" t="s">
        <v>151</v>
      </c>
      <c r="BK44" t="s">
        <v>98</v>
      </c>
      <c r="BL44" t="s">
        <v>152</v>
      </c>
      <c r="BM44" t="s">
        <v>927</v>
      </c>
      <c r="BN44" t="s">
        <v>74</v>
      </c>
      <c r="BO44" t="s">
        <v>74</v>
      </c>
      <c r="BP44" t="s">
        <v>74</v>
      </c>
      <c r="BQ44" t="s">
        <v>74</v>
      </c>
      <c r="BR44" t="s">
        <v>101</v>
      </c>
      <c r="BS44" t="s">
        <v>928</v>
      </c>
      <c r="BT44" t="str">
        <f>HYPERLINK("https%3A%2F%2Fwww.webofscience.com%2Fwos%2Fwoscc%2Ffull-record%2FWOS:000248871900003","View Full Record in Web of Science")</f>
        <v>View Full Record in Web of Science</v>
      </c>
    </row>
    <row r="45" spans="1:72" x14ac:dyDescent="0.15">
      <c r="A45" t="s">
        <v>72</v>
      </c>
      <c r="B45" t="s">
        <v>929</v>
      </c>
      <c r="C45" t="s">
        <v>74</v>
      </c>
      <c r="D45" t="s">
        <v>74</v>
      </c>
      <c r="E45" t="s">
        <v>74</v>
      </c>
      <c r="F45" t="s">
        <v>930</v>
      </c>
      <c r="G45" t="s">
        <v>74</v>
      </c>
      <c r="H45" t="s">
        <v>74</v>
      </c>
      <c r="I45" t="s">
        <v>931</v>
      </c>
      <c r="J45" t="s">
        <v>130</v>
      </c>
      <c r="K45" t="s">
        <v>74</v>
      </c>
      <c r="L45" t="s">
        <v>74</v>
      </c>
      <c r="M45" t="s">
        <v>78</v>
      </c>
      <c r="N45" t="s">
        <v>79</v>
      </c>
      <c r="O45" t="s">
        <v>74</v>
      </c>
      <c r="P45" t="s">
        <v>74</v>
      </c>
      <c r="Q45" t="s">
        <v>74</v>
      </c>
      <c r="R45" t="s">
        <v>74</v>
      </c>
      <c r="S45" t="s">
        <v>74</v>
      </c>
      <c r="T45" t="s">
        <v>74</v>
      </c>
      <c r="U45" t="s">
        <v>932</v>
      </c>
      <c r="V45" t="s">
        <v>933</v>
      </c>
      <c r="W45" t="s">
        <v>934</v>
      </c>
      <c r="X45" t="s">
        <v>935</v>
      </c>
      <c r="Y45" t="s">
        <v>936</v>
      </c>
      <c r="Z45" t="s">
        <v>937</v>
      </c>
      <c r="AA45" t="s">
        <v>938</v>
      </c>
      <c r="AB45" t="s">
        <v>939</v>
      </c>
      <c r="AC45" t="s">
        <v>940</v>
      </c>
      <c r="AD45" t="s">
        <v>941</v>
      </c>
      <c r="AE45" t="s">
        <v>74</v>
      </c>
      <c r="AF45" t="s">
        <v>74</v>
      </c>
      <c r="AG45">
        <v>22</v>
      </c>
      <c r="AH45">
        <v>24</v>
      </c>
      <c r="AI45">
        <v>24</v>
      </c>
      <c r="AJ45">
        <v>0</v>
      </c>
      <c r="AK45">
        <v>6</v>
      </c>
      <c r="AL45" t="s">
        <v>141</v>
      </c>
      <c r="AM45" t="s">
        <v>142</v>
      </c>
      <c r="AN45" t="s">
        <v>143</v>
      </c>
      <c r="AO45" t="s">
        <v>144</v>
      </c>
      <c r="AP45" t="s">
        <v>74</v>
      </c>
      <c r="AQ45" t="s">
        <v>74</v>
      </c>
      <c r="AR45" t="s">
        <v>146</v>
      </c>
      <c r="AS45" t="s">
        <v>147</v>
      </c>
      <c r="AT45" t="s">
        <v>881</v>
      </c>
      <c r="AU45">
        <v>2007</v>
      </c>
      <c r="AV45">
        <v>34</v>
      </c>
      <c r="AW45">
        <v>15</v>
      </c>
      <c r="AX45" t="s">
        <v>74</v>
      </c>
      <c r="AY45" t="s">
        <v>74</v>
      </c>
      <c r="AZ45" t="s">
        <v>74</v>
      </c>
      <c r="BA45" t="s">
        <v>74</v>
      </c>
      <c r="BB45" t="s">
        <v>74</v>
      </c>
      <c r="BC45" t="s">
        <v>74</v>
      </c>
      <c r="BD45" t="s">
        <v>942</v>
      </c>
      <c r="BE45" t="s">
        <v>943</v>
      </c>
      <c r="BF45" t="str">
        <f>HYPERLINK("http://dx.doi.org/10.1029/2007GL029531","http://dx.doi.org/10.1029/2007GL029531")</f>
        <v>http://dx.doi.org/10.1029/2007GL029531</v>
      </c>
      <c r="BG45" t="s">
        <v>74</v>
      </c>
      <c r="BH45" t="s">
        <v>74</v>
      </c>
      <c r="BI45">
        <v>4</v>
      </c>
      <c r="BJ45" t="s">
        <v>151</v>
      </c>
      <c r="BK45" t="s">
        <v>98</v>
      </c>
      <c r="BL45" t="s">
        <v>152</v>
      </c>
      <c r="BM45" t="s">
        <v>927</v>
      </c>
      <c r="BN45" t="s">
        <v>74</v>
      </c>
      <c r="BO45" t="s">
        <v>198</v>
      </c>
      <c r="BP45" t="s">
        <v>74</v>
      </c>
      <c r="BQ45" t="s">
        <v>74</v>
      </c>
      <c r="BR45" t="s">
        <v>101</v>
      </c>
      <c r="BS45" t="s">
        <v>944</v>
      </c>
      <c r="BT45" t="str">
        <f>HYPERLINK("https%3A%2F%2Fwww.webofscience.com%2Fwos%2Fwoscc%2Ffull-record%2FWOS:000248871900001","View Full Record in Web of Science")</f>
        <v>View Full Record in Web of Science</v>
      </c>
    </row>
    <row r="46" spans="1:72" x14ac:dyDescent="0.15">
      <c r="A46" t="s">
        <v>72</v>
      </c>
      <c r="B46" t="s">
        <v>945</v>
      </c>
      <c r="C46" t="s">
        <v>74</v>
      </c>
      <c r="D46" t="s">
        <v>74</v>
      </c>
      <c r="E46" t="s">
        <v>74</v>
      </c>
      <c r="F46" t="s">
        <v>946</v>
      </c>
      <c r="G46" t="s">
        <v>74</v>
      </c>
      <c r="H46" t="s">
        <v>74</v>
      </c>
      <c r="I46" t="s">
        <v>947</v>
      </c>
      <c r="J46" t="s">
        <v>948</v>
      </c>
      <c r="K46" t="s">
        <v>74</v>
      </c>
      <c r="L46" t="s">
        <v>74</v>
      </c>
      <c r="M46" t="s">
        <v>78</v>
      </c>
      <c r="N46" t="s">
        <v>248</v>
      </c>
      <c r="O46" t="s">
        <v>74</v>
      </c>
      <c r="P46" t="s">
        <v>74</v>
      </c>
      <c r="Q46" t="s">
        <v>74</v>
      </c>
      <c r="R46" t="s">
        <v>74</v>
      </c>
      <c r="S46" t="s">
        <v>74</v>
      </c>
      <c r="T46" t="s">
        <v>949</v>
      </c>
      <c r="U46" t="s">
        <v>950</v>
      </c>
      <c r="V46" t="s">
        <v>951</v>
      </c>
      <c r="W46" t="s">
        <v>952</v>
      </c>
      <c r="X46" t="s">
        <v>953</v>
      </c>
      <c r="Y46" t="s">
        <v>954</v>
      </c>
      <c r="Z46" t="s">
        <v>955</v>
      </c>
      <c r="AA46" t="s">
        <v>956</v>
      </c>
      <c r="AB46" t="s">
        <v>74</v>
      </c>
      <c r="AC46" t="s">
        <v>74</v>
      </c>
      <c r="AD46" t="s">
        <v>74</v>
      </c>
      <c r="AE46" t="s">
        <v>74</v>
      </c>
      <c r="AF46" t="s">
        <v>74</v>
      </c>
      <c r="AG46">
        <v>22</v>
      </c>
      <c r="AH46">
        <v>0</v>
      </c>
      <c r="AI46">
        <v>0</v>
      </c>
      <c r="AJ46">
        <v>2</v>
      </c>
      <c r="AK46">
        <v>2</v>
      </c>
      <c r="AL46" t="s">
        <v>957</v>
      </c>
      <c r="AM46" t="s">
        <v>958</v>
      </c>
      <c r="AN46" t="s">
        <v>959</v>
      </c>
      <c r="AO46" t="s">
        <v>960</v>
      </c>
      <c r="AP46" t="s">
        <v>74</v>
      </c>
      <c r="AQ46" t="s">
        <v>74</v>
      </c>
      <c r="AR46" t="s">
        <v>961</v>
      </c>
      <c r="AS46" t="s">
        <v>962</v>
      </c>
      <c r="AT46" t="s">
        <v>881</v>
      </c>
      <c r="AU46">
        <v>2007</v>
      </c>
      <c r="AV46">
        <v>22</v>
      </c>
      <c r="AW46">
        <v>24</v>
      </c>
      <c r="AX46" t="s">
        <v>74</v>
      </c>
      <c r="AY46" t="s">
        <v>74</v>
      </c>
      <c r="AZ46" t="s">
        <v>74</v>
      </c>
      <c r="BA46" t="s">
        <v>74</v>
      </c>
      <c r="BB46">
        <v>1769</v>
      </c>
      <c r="BC46">
        <v>1778</v>
      </c>
      <c r="BD46" t="s">
        <v>74</v>
      </c>
      <c r="BE46" t="s">
        <v>74</v>
      </c>
      <c r="BF46" t="s">
        <v>74</v>
      </c>
      <c r="BG46" t="s">
        <v>74</v>
      </c>
      <c r="BH46" t="s">
        <v>74</v>
      </c>
      <c r="BI46">
        <v>10</v>
      </c>
      <c r="BJ46" t="s">
        <v>963</v>
      </c>
      <c r="BK46" t="s">
        <v>98</v>
      </c>
      <c r="BL46" t="s">
        <v>964</v>
      </c>
      <c r="BM46" t="s">
        <v>965</v>
      </c>
      <c r="BN46" t="s">
        <v>74</v>
      </c>
      <c r="BO46" t="s">
        <v>74</v>
      </c>
      <c r="BP46" t="s">
        <v>74</v>
      </c>
      <c r="BQ46" t="s">
        <v>74</v>
      </c>
      <c r="BR46" t="s">
        <v>101</v>
      </c>
      <c r="BS46" t="s">
        <v>966</v>
      </c>
      <c r="BT46" t="str">
        <f>HYPERLINK("https%3A%2F%2Fwww.webofscience.com%2Fwos%2Fwoscc%2Ffull-record%2FWOS:000251778900001","View Full Record in Web of Science")</f>
        <v>View Full Record in Web of Science</v>
      </c>
    </row>
    <row r="47" spans="1:72" x14ac:dyDescent="0.15">
      <c r="A47" t="s">
        <v>72</v>
      </c>
      <c r="B47" t="s">
        <v>967</v>
      </c>
      <c r="C47" t="s">
        <v>74</v>
      </c>
      <c r="D47" t="s">
        <v>74</v>
      </c>
      <c r="E47" t="s">
        <v>74</v>
      </c>
      <c r="F47" t="s">
        <v>968</v>
      </c>
      <c r="G47" t="s">
        <v>74</v>
      </c>
      <c r="H47" t="s">
        <v>74</v>
      </c>
      <c r="I47" t="s">
        <v>969</v>
      </c>
      <c r="J47" t="s">
        <v>309</v>
      </c>
      <c r="K47" t="s">
        <v>74</v>
      </c>
      <c r="L47" t="s">
        <v>74</v>
      </c>
      <c r="M47" t="s">
        <v>78</v>
      </c>
      <c r="N47" t="s">
        <v>79</v>
      </c>
      <c r="O47" t="s">
        <v>74</v>
      </c>
      <c r="P47" t="s">
        <v>74</v>
      </c>
      <c r="Q47" t="s">
        <v>74</v>
      </c>
      <c r="R47" t="s">
        <v>74</v>
      </c>
      <c r="S47" t="s">
        <v>74</v>
      </c>
      <c r="T47" t="s">
        <v>74</v>
      </c>
      <c r="U47" t="s">
        <v>970</v>
      </c>
      <c r="V47" t="s">
        <v>971</v>
      </c>
      <c r="W47" t="s">
        <v>972</v>
      </c>
      <c r="X47" t="s">
        <v>973</v>
      </c>
      <c r="Y47" t="s">
        <v>974</v>
      </c>
      <c r="Z47" t="s">
        <v>975</v>
      </c>
      <c r="AA47" t="s">
        <v>976</v>
      </c>
      <c r="AB47" t="s">
        <v>977</v>
      </c>
      <c r="AC47" t="s">
        <v>360</v>
      </c>
      <c r="AD47" t="s">
        <v>361</v>
      </c>
      <c r="AE47" t="s">
        <v>74</v>
      </c>
      <c r="AF47" t="s">
        <v>74</v>
      </c>
      <c r="AG47">
        <v>39</v>
      </c>
      <c r="AH47">
        <v>1560</v>
      </c>
      <c r="AI47">
        <v>1746</v>
      </c>
      <c r="AJ47">
        <v>18</v>
      </c>
      <c r="AK47">
        <v>581</v>
      </c>
      <c r="AL47" t="s">
        <v>318</v>
      </c>
      <c r="AM47" t="s">
        <v>142</v>
      </c>
      <c r="AN47" t="s">
        <v>319</v>
      </c>
      <c r="AO47" t="s">
        <v>320</v>
      </c>
      <c r="AP47" t="s">
        <v>628</v>
      </c>
      <c r="AQ47" t="s">
        <v>74</v>
      </c>
      <c r="AR47" t="s">
        <v>309</v>
      </c>
      <c r="AS47" t="s">
        <v>321</v>
      </c>
      <c r="AT47" t="s">
        <v>881</v>
      </c>
      <c r="AU47">
        <v>2007</v>
      </c>
      <c r="AV47">
        <v>317</v>
      </c>
      <c r="AW47">
        <v>5839</v>
      </c>
      <c r="AX47" t="s">
        <v>74</v>
      </c>
      <c r="AY47" t="s">
        <v>74</v>
      </c>
      <c r="AZ47" t="s">
        <v>74</v>
      </c>
      <c r="BA47" t="s">
        <v>74</v>
      </c>
      <c r="BB47">
        <v>793</v>
      </c>
      <c r="BC47">
        <v>796</v>
      </c>
      <c r="BD47" t="s">
        <v>74</v>
      </c>
      <c r="BE47" t="s">
        <v>978</v>
      </c>
      <c r="BF47" t="str">
        <f>HYPERLINK("http://dx.doi.org/10.1126/science.1141038","http://dx.doi.org/10.1126/science.1141038")</f>
        <v>http://dx.doi.org/10.1126/science.1141038</v>
      </c>
      <c r="BG47" t="s">
        <v>74</v>
      </c>
      <c r="BH47" t="s">
        <v>74</v>
      </c>
      <c r="BI47">
        <v>4</v>
      </c>
      <c r="BJ47" t="s">
        <v>241</v>
      </c>
      <c r="BK47" t="s">
        <v>98</v>
      </c>
      <c r="BL47" t="s">
        <v>242</v>
      </c>
      <c r="BM47" t="s">
        <v>979</v>
      </c>
      <c r="BN47">
        <v>17615306</v>
      </c>
      <c r="BO47" t="s">
        <v>304</v>
      </c>
      <c r="BP47" t="s">
        <v>74</v>
      </c>
      <c r="BQ47" t="s">
        <v>74</v>
      </c>
      <c r="BR47" t="s">
        <v>101</v>
      </c>
      <c r="BS47" t="s">
        <v>980</v>
      </c>
      <c r="BT47" t="str">
        <f>HYPERLINK("https%3A%2F%2Fwww.webofscience.com%2Fwos%2Fwoscc%2Ffull-record%2FWOS:000248624500037","View Full Record in Web of Science")</f>
        <v>View Full Record in Web of Science</v>
      </c>
    </row>
    <row r="48" spans="1:72" x14ac:dyDescent="0.15">
      <c r="A48" t="s">
        <v>72</v>
      </c>
      <c r="B48" t="s">
        <v>981</v>
      </c>
      <c r="C48" t="s">
        <v>74</v>
      </c>
      <c r="D48" t="s">
        <v>74</v>
      </c>
      <c r="E48" t="s">
        <v>74</v>
      </c>
      <c r="F48" t="s">
        <v>982</v>
      </c>
      <c r="G48" t="s">
        <v>74</v>
      </c>
      <c r="H48" t="s">
        <v>74</v>
      </c>
      <c r="I48" t="s">
        <v>983</v>
      </c>
      <c r="J48" t="s">
        <v>130</v>
      </c>
      <c r="K48" t="s">
        <v>74</v>
      </c>
      <c r="L48" t="s">
        <v>74</v>
      </c>
      <c r="M48" t="s">
        <v>78</v>
      </c>
      <c r="N48" t="s">
        <v>79</v>
      </c>
      <c r="O48" t="s">
        <v>74</v>
      </c>
      <c r="P48" t="s">
        <v>74</v>
      </c>
      <c r="Q48" t="s">
        <v>74</v>
      </c>
      <c r="R48" t="s">
        <v>74</v>
      </c>
      <c r="S48" t="s">
        <v>74</v>
      </c>
      <c r="T48" t="s">
        <v>74</v>
      </c>
      <c r="U48" t="s">
        <v>984</v>
      </c>
      <c r="V48" t="s">
        <v>985</v>
      </c>
      <c r="W48" t="s">
        <v>986</v>
      </c>
      <c r="X48" t="s">
        <v>987</v>
      </c>
      <c r="Y48" t="s">
        <v>988</v>
      </c>
      <c r="Z48" t="s">
        <v>989</v>
      </c>
      <c r="AA48" t="s">
        <v>74</v>
      </c>
      <c r="AB48" t="s">
        <v>74</v>
      </c>
      <c r="AC48" t="s">
        <v>74</v>
      </c>
      <c r="AD48" t="s">
        <v>74</v>
      </c>
      <c r="AE48" t="s">
        <v>74</v>
      </c>
      <c r="AF48" t="s">
        <v>74</v>
      </c>
      <c r="AG48">
        <v>10</v>
      </c>
      <c r="AH48">
        <v>21</v>
      </c>
      <c r="AI48">
        <v>22</v>
      </c>
      <c r="AJ48">
        <v>0</v>
      </c>
      <c r="AK48">
        <v>4</v>
      </c>
      <c r="AL48" t="s">
        <v>141</v>
      </c>
      <c r="AM48" t="s">
        <v>142</v>
      </c>
      <c r="AN48" t="s">
        <v>143</v>
      </c>
      <c r="AO48" t="s">
        <v>144</v>
      </c>
      <c r="AP48" t="s">
        <v>145</v>
      </c>
      <c r="AQ48" t="s">
        <v>74</v>
      </c>
      <c r="AR48" t="s">
        <v>146</v>
      </c>
      <c r="AS48" t="s">
        <v>147</v>
      </c>
      <c r="AT48" t="s">
        <v>990</v>
      </c>
      <c r="AU48">
        <v>2007</v>
      </c>
      <c r="AV48">
        <v>34</v>
      </c>
      <c r="AW48">
        <v>15</v>
      </c>
      <c r="AX48" t="s">
        <v>74</v>
      </c>
      <c r="AY48" t="s">
        <v>74</v>
      </c>
      <c r="AZ48" t="s">
        <v>74</v>
      </c>
      <c r="BA48" t="s">
        <v>74</v>
      </c>
      <c r="BB48" t="s">
        <v>74</v>
      </c>
      <c r="BC48" t="s">
        <v>74</v>
      </c>
      <c r="BD48" t="s">
        <v>991</v>
      </c>
      <c r="BE48" t="s">
        <v>992</v>
      </c>
      <c r="BF48" t="str">
        <f>HYPERLINK("http://dx.doi.org/10.1029/2007GL029638","http://dx.doi.org/10.1029/2007GL029638")</f>
        <v>http://dx.doi.org/10.1029/2007GL029638</v>
      </c>
      <c r="BG48" t="s">
        <v>74</v>
      </c>
      <c r="BH48" t="s">
        <v>74</v>
      </c>
      <c r="BI48">
        <v>5</v>
      </c>
      <c r="BJ48" t="s">
        <v>151</v>
      </c>
      <c r="BK48" t="s">
        <v>98</v>
      </c>
      <c r="BL48" t="s">
        <v>152</v>
      </c>
      <c r="BM48" t="s">
        <v>993</v>
      </c>
      <c r="BN48" t="s">
        <v>74</v>
      </c>
      <c r="BO48" t="s">
        <v>154</v>
      </c>
      <c r="BP48" t="s">
        <v>74</v>
      </c>
      <c r="BQ48" t="s">
        <v>74</v>
      </c>
      <c r="BR48" t="s">
        <v>101</v>
      </c>
      <c r="BS48" t="s">
        <v>994</v>
      </c>
      <c r="BT48" t="str">
        <f>HYPERLINK("https%3A%2F%2Fwww.webofscience.com%2Fwos%2Fwoscc%2Ffull-record%2FWOS:000248871600001","View Full Record in Web of Science")</f>
        <v>View Full Record in Web of Science</v>
      </c>
    </row>
    <row r="49" spans="1:72" x14ac:dyDescent="0.15">
      <c r="A49" t="s">
        <v>72</v>
      </c>
      <c r="B49" t="s">
        <v>995</v>
      </c>
      <c r="C49" t="s">
        <v>74</v>
      </c>
      <c r="D49" t="s">
        <v>74</v>
      </c>
      <c r="E49" t="s">
        <v>74</v>
      </c>
      <c r="F49" t="s">
        <v>996</v>
      </c>
      <c r="G49" t="s">
        <v>74</v>
      </c>
      <c r="H49" t="s">
        <v>74</v>
      </c>
      <c r="I49" t="s">
        <v>997</v>
      </c>
      <c r="J49" t="s">
        <v>203</v>
      </c>
      <c r="K49" t="s">
        <v>74</v>
      </c>
      <c r="L49" t="s">
        <v>74</v>
      </c>
      <c r="M49" t="s">
        <v>78</v>
      </c>
      <c r="N49" t="s">
        <v>79</v>
      </c>
      <c r="O49" t="s">
        <v>74</v>
      </c>
      <c r="P49" t="s">
        <v>74</v>
      </c>
      <c r="Q49" t="s">
        <v>74</v>
      </c>
      <c r="R49" t="s">
        <v>74</v>
      </c>
      <c r="S49" t="s">
        <v>74</v>
      </c>
      <c r="T49" t="s">
        <v>74</v>
      </c>
      <c r="U49" t="s">
        <v>998</v>
      </c>
      <c r="V49" t="s">
        <v>999</v>
      </c>
      <c r="W49" t="s">
        <v>1000</v>
      </c>
      <c r="X49" t="s">
        <v>1001</v>
      </c>
      <c r="Y49" t="s">
        <v>1002</v>
      </c>
      <c r="Z49" t="s">
        <v>1003</v>
      </c>
      <c r="AA49" t="s">
        <v>74</v>
      </c>
      <c r="AB49" t="s">
        <v>74</v>
      </c>
      <c r="AC49" t="s">
        <v>74</v>
      </c>
      <c r="AD49" t="s">
        <v>74</v>
      </c>
      <c r="AE49" t="s">
        <v>74</v>
      </c>
      <c r="AF49" t="s">
        <v>74</v>
      </c>
      <c r="AG49">
        <v>49</v>
      </c>
      <c r="AH49">
        <v>71</v>
      </c>
      <c r="AI49">
        <v>80</v>
      </c>
      <c r="AJ49">
        <v>0</v>
      </c>
      <c r="AK49">
        <v>11</v>
      </c>
      <c r="AL49" t="s">
        <v>141</v>
      </c>
      <c r="AM49" t="s">
        <v>142</v>
      </c>
      <c r="AN49" t="s">
        <v>143</v>
      </c>
      <c r="AO49" t="s">
        <v>213</v>
      </c>
      <c r="AP49" t="s">
        <v>214</v>
      </c>
      <c r="AQ49" t="s">
        <v>74</v>
      </c>
      <c r="AR49" t="s">
        <v>215</v>
      </c>
      <c r="AS49" t="s">
        <v>216</v>
      </c>
      <c r="AT49" t="s">
        <v>1004</v>
      </c>
      <c r="AU49">
        <v>2007</v>
      </c>
      <c r="AV49">
        <v>112</v>
      </c>
      <c r="AW49" t="s">
        <v>218</v>
      </c>
      <c r="AX49" t="s">
        <v>74</v>
      </c>
      <c r="AY49" t="s">
        <v>74</v>
      </c>
      <c r="AZ49" t="s">
        <v>74</v>
      </c>
      <c r="BA49" t="s">
        <v>74</v>
      </c>
      <c r="BB49" t="s">
        <v>74</v>
      </c>
      <c r="BC49" t="s">
        <v>74</v>
      </c>
      <c r="BD49" t="s">
        <v>1005</v>
      </c>
      <c r="BE49" t="s">
        <v>1006</v>
      </c>
      <c r="BF49" t="str">
        <f>HYPERLINK("http://dx.doi.org/10.1029/2006JC004061","http://dx.doi.org/10.1029/2006JC004061")</f>
        <v>http://dx.doi.org/10.1029/2006JC004061</v>
      </c>
      <c r="BG49" t="s">
        <v>74</v>
      </c>
      <c r="BH49" t="s">
        <v>74</v>
      </c>
      <c r="BI49">
        <v>13</v>
      </c>
      <c r="BJ49" t="s">
        <v>221</v>
      </c>
      <c r="BK49" t="s">
        <v>98</v>
      </c>
      <c r="BL49" t="s">
        <v>221</v>
      </c>
      <c r="BM49" t="s">
        <v>1007</v>
      </c>
      <c r="BN49" t="s">
        <v>74</v>
      </c>
      <c r="BO49" t="s">
        <v>198</v>
      </c>
      <c r="BP49" t="s">
        <v>74</v>
      </c>
      <c r="BQ49" t="s">
        <v>74</v>
      </c>
      <c r="BR49" t="s">
        <v>101</v>
      </c>
      <c r="BS49" t="s">
        <v>1008</v>
      </c>
      <c r="BT49" t="str">
        <f>HYPERLINK("https%3A%2F%2Fwww.webofscience.com%2Fwos%2Fwoscc%2Ffull-record%2FWOS:000248874100001","View Full Record in Web of Science")</f>
        <v>View Full Record in Web of Science</v>
      </c>
    </row>
    <row r="50" spans="1:72" x14ac:dyDescent="0.15">
      <c r="A50" t="s">
        <v>72</v>
      </c>
      <c r="B50" t="s">
        <v>1009</v>
      </c>
      <c r="C50" t="s">
        <v>74</v>
      </c>
      <c r="D50" t="s">
        <v>74</v>
      </c>
      <c r="E50" t="s">
        <v>74</v>
      </c>
      <c r="F50" t="s">
        <v>1010</v>
      </c>
      <c r="G50" t="s">
        <v>74</v>
      </c>
      <c r="H50" t="s">
        <v>74</v>
      </c>
      <c r="I50" t="s">
        <v>1011</v>
      </c>
      <c r="J50" t="s">
        <v>159</v>
      </c>
      <c r="K50" t="s">
        <v>74</v>
      </c>
      <c r="L50" t="s">
        <v>74</v>
      </c>
      <c r="M50" t="s">
        <v>78</v>
      </c>
      <c r="N50" t="s">
        <v>79</v>
      </c>
      <c r="O50" t="s">
        <v>74</v>
      </c>
      <c r="P50" t="s">
        <v>74</v>
      </c>
      <c r="Q50" t="s">
        <v>74</v>
      </c>
      <c r="R50" t="s">
        <v>74</v>
      </c>
      <c r="S50" t="s">
        <v>74</v>
      </c>
      <c r="T50" t="s">
        <v>74</v>
      </c>
      <c r="U50" t="s">
        <v>1012</v>
      </c>
      <c r="V50" t="s">
        <v>1013</v>
      </c>
      <c r="W50" t="s">
        <v>1014</v>
      </c>
      <c r="X50" t="s">
        <v>1015</v>
      </c>
      <c r="Y50" t="s">
        <v>826</v>
      </c>
      <c r="Z50" t="s">
        <v>1016</v>
      </c>
      <c r="AA50" t="s">
        <v>1017</v>
      </c>
      <c r="AB50" t="s">
        <v>1018</v>
      </c>
      <c r="AC50" t="s">
        <v>167</v>
      </c>
      <c r="AD50" t="s">
        <v>140</v>
      </c>
      <c r="AE50" t="s">
        <v>74</v>
      </c>
      <c r="AF50" t="s">
        <v>74</v>
      </c>
      <c r="AG50">
        <v>84</v>
      </c>
      <c r="AH50">
        <v>108</v>
      </c>
      <c r="AI50">
        <v>112</v>
      </c>
      <c r="AJ50">
        <v>0</v>
      </c>
      <c r="AK50">
        <v>4</v>
      </c>
      <c r="AL50" t="s">
        <v>141</v>
      </c>
      <c r="AM50" t="s">
        <v>142</v>
      </c>
      <c r="AN50" t="s">
        <v>143</v>
      </c>
      <c r="AO50" t="s">
        <v>168</v>
      </c>
      <c r="AP50" t="s">
        <v>169</v>
      </c>
      <c r="AQ50" t="s">
        <v>74</v>
      </c>
      <c r="AR50" t="s">
        <v>170</v>
      </c>
      <c r="AS50" t="s">
        <v>171</v>
      </c>
      <c r="AT50" t="s">
        <v>1004</v>
      </c>
      <c r="AU50">
        <v>2007</v>
      </c>
      <c r="AV50">
        <v>112</v>
      </c>
      <c r="AW50" t="s">
        <v>172</v>
      </c>
      <c r="AX50" t="s">
        <v>74</v>
      </c>
      <c r="AY50" t="s">
        <v>74</v>
      </c>
      <c r="AZ50" t="s">
        <v>74</v>
      </c>
      <c r="BA50" t="s">
        <v>74</v>
      </c>
      <c r="BB50" t="s">
        <v>74</v>
      </c>
      <c r="BC50" t="s">
        <v>74</v>
      </c>
      <c r="BD50" t="s">
        <v>1019</v>
      </c>
      <c r="BE50" t="s">
        <v>1020</v>
      </c>
      <c r="BF50" t="str">
        <f>HYPERLINK("http://dx.doi.org/10.1029/2006JA012237","http://dx.doi.org/10.1029/2006JA012237")</f>
        <v>http://dx.doi.org/10.1029/2006JA012237</v>
      </c>
      <c r="BG50" t="s">
        <v>74</v>
      </c>
      <c r="BH50" t="s">
        <v>74</v>
      </c>
      <c r="BI50">
        <v>13</v>
      </c>
      <c r="BJ50" t="s">
        <v>175</v>
      </c>
      <c r="BK50" t="s">
        <v>98</v>
      </c>
      <c r="BL50" t="s">
        <v>175</v>
      </c>
      <c r="BM50" t="s">
        <v>1021</v>
      </c>
      <c r="BN50" t="s">
        <v>74</v>
      </c>
      <c r="BO50" t="s">
        <v>223</v>
      </c>
      <c r="BP50" t="s">
        <v>74</v>
      </c>
      <c r="BQ50" t="s">
        <v>74</v>
      </c>
      <c r="BR50" t="s">
        <v>101</v>
      </c>
      <c r="BS50" t="s">
        <v>1022</v>
      </c>
      <c r="BT50" t="str">
        <f>HYPERLINK("https%3A%2F%2Fwww.webofscience.com%2Fwos%2Fwoscc%2Ffull-record%2FWOS:000248875700001","View Full Record in Web of Science")</f>
        <v>View Full Record in Web of Science</v>
      </c>
    </row>
    <row r="51" spans="1:72" x14ac:dyDescent="0.15">
      <c r="A51" t="s">
        <v>72</v>
      </c>
      <c r="B51" t="s">
        <v>1023</v>
      </c>
      <c r="C51" t="s">
        <v>74</v>
      </c>
      <c r="D51" t="s">
        <v>74</v>
      </c>
      <c r="E51" t="s">
        <v>74</v>
      </c>
      <c r="F51" t="s">
        <v>1024</v>
      </c>
      <c r="G51" t="s">
        <v>74</v>
      </c>
      <c r="H51" t="s">
        <v>74</v>
      </c>
      <c r="I51" t="s">
        <v>1025</v>
      </c>
      <c r="J51" t="s">
        <v>582</v>
      </c>
      <c r="K51" t="s">
        <v>74</v>
      </c>
      <c r="L51" t="s">
        <v>74</v>
      </c>
      <c r="M51" t="s">
        <v>78</v>
      </c>
      <c r="N51" t="s">
        <v>514</v>
      </c>
      <c r="O51" t="s">
        <v>1026</v>
      </c>
      <c r="P51" t="s">
        <v>1027</v>
      </c>
      <c r="Q51" t="s">
        <v>1028</v>
      </c>
      <c r="R51" t="s">
        <v>74</v>
      </c>
      <c r="S51" t="s">
        <v>74</v>
      </c>
      <c r="T51" t="s">
        <v>1029</v>
      </c>
      <c r="U51" t="s">
        <v>1030</v>
      </c>
      <c r="V51" t="s">
        <v>1031</v>
      </c>
      <c r="W51" t="s">
        <v>1032</v>
      </c>
      <c r="X51" t="s">
        <v>1033</v>
      </c>
      <c r="Y51" t="s">
        <v>1034</v>
      </c>
      <c r="Z51" t="s">
        <v>1035</v>
      </c>
      <c r="AA51" t="s">
        <v>74</v>
      </c>
      <c r="AB51" t="s">
        <v>1036</v>
      </c>
      <c r="AC51" t="s">
        <v>1037</v>
      </c>
      <c r="AD51" t="s">
        <v>361</v>
      </c>
      <c r="AE51" t="s">
        <v>74</v>
      </c>
      <c r="AF51" t="s">
        <v>74</v>
      </c>
      <c r="AG51">
        <v>85</v>
      </c>
      <c r="AH51">
        <v>16</v>
      </c>
      <c r="AI51">
        <v>16</v>
      </c>
      <c r="AJ51">
        <v>1</v>
      </c>
      <c r="AK51">
        <v>19</v>
      </c>
      <c r="AL51" t="s">
        <v>272</v>
      </c>
      <c r="AM51" t="s">
        <v>273</v>
      </c>
      <c r="AN51" t="s">
        <v>274</v>
      </c>
      <c r="AO51" t="s">
        <v>594</v>
      </c>
      <c r="AP51" t="s">
        <v>614</v>
      </c>
      <c r="AQ51" t="s">
        <v>74</v>
      </c>
      <c r="AR51" t="s">
        <v>595</v>
      </c>
      <c r="AS51" t="s">
        <v>596</v>
      </c>
      <c r="AT51" t="s">
        <v>1038</v>
      </c>
      <c r="AU51">
        <v>2007</v>
      </c>
      <c r="AV51">
        <v>242</v>
      </c>
      <c r="AW51" t="s">
        <v>1039</v>
      </c>
      <c r="AX51" t="s">
        <v>74</v>
      </c>
      <c r="AY51" t="s">
        <v>74</v>
      </c>
      <c r="AZ51" t="s">
        <v>74</v>
      </c>
      <c r="BA51" t="s">
        <v>74</v>
      </c>
      <c r="BB51">
        <v>5</v>
      </c>
      <c r="BC51">
        <v>26</v>
      </c>
      <c r="BD51" t="s">
        <v>74</v>
      </c>
      <c r="BE51" t="s">
        <v>1040</v>
      </c>
      <c r="BF51" t="str">
        <f>HYPERLINK("http://dx.doi.org/10.1016/j.margeo.2006.09.015","http://dx.doi.org/10.1016/j.margeo.2006.09.015")</f>
        <v>http://dx.doi.org/10.1016/j.margeo.2006.09.015</v>
      </c>
      <c r="BG51" t="s">
        <v>74</v>
      </c>
      <c r="BH51" t="s">
        <v>74</v>
      </c>
      <c r="BI51">
        <v>22</v>
      </c>
      <c r="BJ51" t="s">
        <v>598</v>
      </c>
      <c r="BK51" t="s">
        <v>535</v>
      </c>
      <c r="BL51" t="s">
        <v>599</v>
      </c>
      <c r="BM51" t="s">
        <v>1041</v>
      </c>
      <c r="BN51" t="s">
        <v>74</v>
      </c>
      <c r="BO51" t="s">
        <v>74</v>
      </c>
      <c r="BP51" t="s">
        <v>74</v>
      </c>
      <c r="BQ51" t="s">
        <v>74</v>
      </c>
      <c r="BR51" t="s">
        <v>101</v>
      </c>
      <c r="BS51" t="s">
        <v>1042</v>
      </c>
      <c r="BT51" t="str">
        <f>HYPERLINK("https%3A%2F%2Fwww.webofscience.com%2Fwos%2Fwoscc%2Ffull-record%2FWOS:000248857900002","View Full Record in Web of Science")</f>
        <v>View Full Record in Web of Science</v>
      </c>
    </row>
    <row r="52" spans="1:72" x14ac:dyDescent="0.15">
      <c r="A52" t="s">
        <v>72</v>
      </c>
      <c r="B52" t="s">
        <v>1043</v>
      </c>
      <c r="C52" t="s">
        <v>74</v>
      </c>
      <c r="D52" t="s">
        <v>74</v>
      </c>
      <c r="E52" t="s">
        <v>74</v>
      </c>
      <c r="F52" t="s">
        <v>1044</v>
      </c>
      <c r="G52" t="s">
        <v>74</v>
      </c>
      <c r="H52" t="s">
        <v>74</v>
      </c>
      <c r="I52" t="s">
        <v>1045</v>
      </c>
      <c r="J52" t="s">
        <v>1046</v>
      </c>
      <c r="K52" t="s">
        <v>74</v>
      </c>
      <c r="L52" t="s">
        <v>74</v>
      </c>
      <c r="M52" t="s">
        <v>78</v>
      </c>
      <c r="N52" t="s">
        <v>79</v>
      </c>
      <c r="O52" t="s">
        <v>74</v>
      </c>
      <c r="P52" t="s">
        <v>74</v>
      </c>
      <c r="Q52" t="s">
        <v>74</v>
      </c>
      <c r="R52" t="s">
        <v>74</v>
      </c>
      <c r="S52" t="s">
        <v>74</v>
      </c>
      <c r="T52" t="s">
        <v>1047</v>
      </c>
      <c r="U52" t="s">
        <v>1048</v>
      </c>
      <c r="V52" t="s">
        <v>1049</v>
      </c>
      <c r="W52" t="s">
        <v>1050</v>
      </c>
      <c r="X52" t="s">
        <v>1051</v>
      </c>
      <c r="Y52" t="s">
        <v>1052</v>
      </c>
      <c r="Z52" t="s">
        <v>1053</v>
      </c>
      <c r="AA52" t="s">
        <v>74</v>
      </c>
      <c r="AB52" t="s">
        <v>74</v>
      </c>
      <c r="AC52" t="s">
        <v>74</v>
      </c>
      <c r="AD52" t="s">
        <v>74</v>
      </c>
      <c r="AE52" t="s">
        <v>74</v>
      </c>
      <c r="AF52" t="s">
        <v>74</v>
      </c>
      <c r="AG52">
        <v>100</v>
      </c>
      <c r="AH52">
        <v>26</v>
      </c>
      <c r="AI52">
        <v>26</v>
      </c>
      <c r="AJ52">
        <v>1</v>
      </c>
      <c r="AK52">
        <v>11</v>
      </c>
      <c r="AL52" t="s">
        <v>141</v>
      </c>
      <c r="AM52" t="s">
        <v>142</v>
      </c>
      <c r="AN52" t="s">
        <v>143</v>
      </c>
      <c r="AO52" t="s">
        <v>1054</v>
      </c>
      <c r="AP52" t="s">
        <v>74</v>
      </c>
      <c r="AQ52" t="s">
        <v>74</v>
      </c>
      <c r="AR52" t="s">
        <v>1055</v>
      </c>
      <c r="AS52" t="s">
        <v>1056</v>
      </c>
      <c r="AT52" t="s">
        <v>1057</v>
      </c>
      <c r="AU52">
        <v>2007</v>
      </c>
      <c r="AV52">
        <v>8</v>
      </c>
      <c r="AW52" t="s">
        <v>74</v>
      </c>
      <c r="AX52" t="s">
        <v>74</v>
      </c>
      <c r="AY52" t="s">
        <v>74</v>
      </c>
      <c r="AZ52" t="s">
        <v>74</v>
      </c>
      <c r="BA52" t="s">
        <v>74</v>
      </c>
      <c r="BB52" t="s">
        <v>74</v>
      </c>
      <c r="BC52" t="s">
        <v>74</v>
      </c>
      <c r="BD52" t="s">
        <v>1058</v>
      </c>
      <c r="BE52" t="s">
        <v>1059</v>
      </c>
      <c r="BF52" t="str">
        <f>HYPERLINK("http://dx.doi.org/10.1029/2007GC001636","http://dx.doi.org/10.1029/2007GC001636")</f>
        <v>http://dx.doi.org/10.1029/2007GC001636</v>
      </c>
      <c r="BG52" t="s">
        <v>74</v>
      </c>
      <c r="BH52" t="s">
        <v>74</v>
      </c>
      <c r="BI52">
        <v>12</v>
      </c>
      <c r="BJ52" t="s">
        <v>688</v>
      </c>
      <c r="BK52" t="s">
        <v>98</v>
      </c>
      <c r="BL52" t="s">
        <v>688</v>
      </c>
      <c r="BM52" t="s">
        <v>1060</v>
      </c>
      <c r="BN52" t="s">
        <v>74</v>
      </c>
      <c r="BO52" t="s">
        <v>154</v>
      </c>
      <c r="BP52" t="s">
        <v>74</v>
      </c>
      <c r="BQ52" t="s">
        <v>74</v>
      </c>
      <c r="BR52" t="s">
        <v>101</v>
      </c>
      <c r="BS52" t="s">
        <v>1061</v>
      </c>
      <c r="BT52" t="str">
        <f>HYPERLINK("https%3A%2F%2Fwww.webofscience.com%2Fwos%2Fwoscc%2Ffull-record%2FWOS:000248598500002","View Full Record in Web of Science")</f>
        <v>View Full Record in Web of Science</v>
      </c>
    </row>
    <row r="53" spans="1:72" x14ac:dyDescent="0.15">
      <c r="A53" t="s">
        <v>72</v>
      </c>
      <c r="B53" t="s">
        <v>1062</v>
      </c>
      <c r="C53" t="s">
        <v>74</v>
      </c>
      <c r="D53" t="s">
        <v>74</v>
      </c>
      <c r="E53" t="s">
        <v>74</v>
      </c>
      <c r="F53" t="s">
        <v>1063</v>
      </c>
      <c r="G53" t="s">
        <v>74</v>
      </c>
      <c r="H53" t="s">
        <v>74</v>
      </c>
      <c r="I53" t="s">
        <v>1064</v>
      </c>
      <c r="J53" t="s">
        <v>1065</v>
      </c>
      <c r="K53" t="s">
        <v>74</v>
      </c>
      <c r="L53" t="s">
        <v>74</v>
      </c>
      <c r="M53" t="s">
        <v>78</v>
      </c>
      <c r="N53" t="s">
        <v>79</v>
      </c>
      <c r="O53" t="s">
        <v>74</v>
      </c>
      <c r="P53" t="s">
        <v>74</v>
      </c>
      <c r="Q53" t="s">
        <v>74</v>
      </c>
      <c r="R53" t="s">
        <v>74</v>
      </c>
      <c r="S53" t="s">
        <v>74</v>
      </c>
      <c r="T53" t="s">
        <v>74</v>
      </c>
      <c r="U53" t="s">
        <v>1066</v>
      </c>
      <c r="V53" t="s">
        <v>1067</v>
      </c>
      <c r="W53" t="s">
        <v>1068</v>
      </c>
      <c r="X53" t="s">
        <v>1069</v>
      </c>
      <c r="Y53" t="s">
        <v>1070</v>
      </c>
      <c r="Z53" t="s">
        <v>1071</v>
      </c>
      <c r="AA53" t="s">
        <v>1072</v>
      </c>
      <c r="AB53" t="s">
        <v>74</v>
      </c>
      <c r="AC53" t="s">
        <v>74</v>
      </c>
      <c r="AD53" t="s">
        <v>74</v>
      </c>
      <c r="AE53" t="s">
        <v>74</v>
      </c>
      <c r="AF53" t="s">
        <v>74</v>
      </c>
      <c r="AG53">
        <v>50</v>
      </c>
      <c r="AH53">
        <v>20</v>
      </c>
      <c r="AI53">
        <v>23</v>
      </c>
      <c r="AJ53">
        <v>0</v>
      </c>
      <c r="AK53">
        <v>27</v>
      </c>
      <c r="AL53" t="s">
        <v>1073</v>
      </c>
      <c r="AM53" t="s">
        <v>363</v>
      </c>
      <c r="AN53" t="s">
        <v>1074</v>
      </c>
      <c r="AO53" t="s">
        <v>1075</v>
      </c>
      <c r="AP53" t="s">
        <v>74</v>
      </c>
      <c r="AQ53" t="s">
        <v>74</v>
      </c>
      <c r="AR53" t="s">
        <v>1076</v>
      </c>
      <c r="AS53" t="s">
        <v>1077</v>
      </c>
      <c r="AT53" t="s">
        <v>1078</v>
      </c>
      <c r="AU53">
        <v>2007</v>
      </c>
      <c r="AV53">
        <v>7</v>
      </c>
      <c r="AW53" t="s">
        <v>74</v>
      </c>
      <c r="AX53" t="s">
        <v>74</v>
      </c>
      <c r="AY53" t="s">
        <v>74</v>
      </c>
      <c r="AZ53" t="s">
        <v>74</v>
      </c>
      <c r="BA53" t="s">
        <v>74</v>
      </c>
      <c r="BB53" t="s">
        <v>74</v>
      </c>
      <c r="BC53" t="s">
        <v>74</v>
      </c>
      <c r="BD53">
        <v>131</v>
      </c>
      <c r="BE53" t="s">
        <v>1079</v>
      </c>
      <c r="BF53" t="str">
        <f>HYPERLINK("http://dx.doi.org/10.1186/1471-2148-7-131","http://dx.doi.org/10.1186/1471-2148-7-131")</f>
        <v>http://dx.doi.org/10.1186/1471-2148-7-131</v>
      </c>
      <c r="BG53" t="s">
        <v>74</v>
      </c>
      <c r="BH53" t="s">
        <v>74</v>
      </c>
      <c r="BI53">
        <v>17</v>
      </c>
      <c r="BJ53" t="s">
        <v>1080</v>
      </c>
      <c r="BK53" t="s">
        <v>98</v>
      </c>
      <c r="BL53" t="s">
        <v>1080</v>
      </c>
      <c r="BM53" t="s">
        <v>1081</v>
      </c>
      <c r="BN53">
        <v>17683557</v>
      </c>
      <c r="BO53" t="s">
        <v>1082</v>
      </c>
      <c r="BP53" t="s">
        <v>74</v>
      </c>
      <c r="BQ53" t="s">
        <v>74</v>
      </c>
      <c r="BR53" t="s">
        <v>101</v>
      </c>
      <c r="BS53" t="s">
        <v>1083</v>
      </c>
      <c r="BT53" t="str">
        <f>HYPERLINK("https%3A%2F%2Fwww.webofscience.com%2Fwos%2Fwoscc%2Ffull-record%2FWOS:000249380300001","View Full Record in Web of Science")</f>
        <v>View Full Record in Web of Science</v>
      </c>
    </row>
    <row r="54" spans="1:72" x14ac:dyDescent="0.15">
      <c r="A54" t="s">
        <v>72</v>
      </c>
      <c r="B54" t="s">
        <v>1084</v>
      </c>
      <c r="C54" t="s">
        <v>74</v>
      </c>
      <c r="D54" t="s">
        <v>74</v>
      </c>
      <c r="E54" t="s">
        <v>74</v>
      </c>
      <c r="F54" t="s">
        <v>1085</v>
      </c>
      <c r="G54" t="s">
        <v>74</v>
      </c>
      <c r="H54" t="s">
        <v>74</v>
      </c>
      <c r="I54" t="s">
        <v>1086</v>
      </c>
      <c r="J54" t="s">
        <v>262</v>
      </c>
      <c r="K54" t="s">
        <v>74</v>
      </c>
      <c r="L54" t="s">
        <v>74</v>
      </c>
      <c r="M54" t="s">
        <v>78</v>
      </c>
      <c r="N54" t="s">
        <v>79</v>
      </c>
      <c r="O54" t="s">
        <v>74</v>
      </c>
      <c r="P54" t="s">
        <v>74</v>
      </c>
      <c r="Q54" t="s">
        <v>74</v>
      </c>
      <c r="R54" t="s">
        <v>74</v>
      </c>
      <c r="S54" t="s">
        <v>74</v>
      </c>
      <c r="T54" t="s">
        <v>1087</v>
      </c>
      <c r="U54" t="s">
        <v>1088</v>
      </c>
      <c r="V54" t="s">
        <v>1089</v>
      </c>
      <c r="W54" t="s">
        <v>1090</v>
      </c>
      <c r="X54" t="s">
        <v>1091</v>
      </c>
      <c r="Y54" t="s">
        <v>1092</v>
      </c>
      <c r="Z54" t="s">
        <v>1093</v>
      </c>
      <c r="AA54" t="s">
        <v>74</v>
      </c>
      <c r="AB54" t="s">
        <v>74</v>
      </c>
      <c r="AC54" t="s">
        <v>74</v>
      </c>
      <c r="AD54" t="s">
        <v>74</v>
      </c>
      <c r="AE54" t="s">
        <v>74</v>
      </c>
      <c r="AF54" t="s">
        <v>74</v>
      </c>
      <c r="AG54">
        <v>30</v>
      </c>
      <c r="AH54">
        <v>25</v>
      </c>
      <c r="AI54">
        <v>27</v>
      </c>
      <c r="AJ54">
        <v>0</v>
      </c>
      <c r="AK54">
        <v>14</v>
      </c>
      <c r="AL54" t="s">
        <v>592</v>
      </c>
      <c r="AM54" t="s">
        <v>273</v>
      </c>
      <c r="AN54" t="s">
        <v>593</v>
      </c>
      <c r="AO54" t="s">
        <v>275</v>
      </c>
      <c r="AP54" t="s">
        <v>74</v>
      </c>
      <c r="AQ54" t="s">
        <v>74</v>
      </c>
      <c r="AR54" t="s">
        <v>277</v>
      </c>
      <c r="AS54" t="s">
        <v>278</v>
      </c>
      <c r="AT54" t="s">
        <v>1078</v>
      </c>
      <c r="AU54">
        <v>2007</v>
      </c>
      <c r="AV54">
        <v>346</v>
      </c>
      <c r="AW54" t="s">
        <v>280</v>
      </c>
      <c r="AX54" t="s">
        <v>74</v>
      </c>
      <c r="AY54" t="s">
        <v>74</v>
      </c>
      <c r="AZ54" t="s">
        <v>74</v>
      </c>
      <c r="BA54" t="s">
        <v>74</v>
      </c>
      <c r="BB54">
        <v>66</v>
      </c>
      <c r="BC54">
        <v>75</v>
      </c>
      <c r="BD54" t="s">
        <v>74</v>
      </c>
      <c r="BE54" t="s">
        <v>1094</v>
      </c>
      <c r="BF54" t="str">
        <f>HYPERLINK("http://dx.doi.org/10.1016/j.jembe.2007.03.004","http://dx.doi.org/10.1016/j.jembe.2007.03.004")</f>
        <v>http://dx.doi.org/10.1016/j.jembe.2007.03.004</v>
      </c>
      <c r="BG54" t="s">
        <v>74</v>
      </c>
      <c r="BH54" t="s">
        <v>74</v>
      </c>
      <c r="BI54">
        <v>10</v>
      </c>
      <c r="BJ54" t="s">
        <v>282</v>
      </c>
      <c r="BK54" t="s">
        <v>98</v>
      </c>
      <c r="BL54" t="s">
        <v>283</v>
      </c>
      <c r="BM54" t="s">
        <v>1095</v>
      </c>
      <c r="BN54" t="s">
        <v>74</v>
      </c>
      <c r="BO54" t="s">
        <v>74</v>
      </c>
      <c r="BP54" t="s">
        <v>74</v>
      </c>
      <c r="BQ54" t="s">
        <v>74</v>
      </c>
      <c r="BR54" t="s">
        <v>101</v>
      </c>
      <c r="BS54" t="s">
        <v>1096</v>
      </c>
      <c r="BT54" t="str">
        <f>HYPERLINK("https%3A%2F%2Fwww.webofscience.com%2Fwos%2Fwoscc%2Ffull-record%2FWOS:000247155600008","View Full Record in Web of Science")</f>
        <v>View Full Record in Web of Science</v>
      </c>
    </row>
    <row r="55" spans="1:72" x14ac:dyDescent="0.15">
      <c r="A55" t="s">
        <v>72</v>
      </c>
      <c r="B55" t="s">
        <v>1097</v>
      </c>
      <c r="C55" t="s">
        <v>74</v>
      </c>
      <c r="D55" t="s">
        <v>74</v>
      </c>
      <c r="E55" t="s">
        <v>74</v>
      </c>
      <c r="F55" t="s">
        <v>1098</v>
      </c>
      <c r="G55" t="s">
        <v>74</v>
      </c>
      <c r="H55" t="s">
        <v>74</v>
      </c>
      <c r="I55" t="s">
        <v>1099</v>
      </c>
      <c r="J55" t="s">
        <v>416</v>
      </c>
      <c r="K55" t="s">
        <v>74</v>
      </c>
      <c r="L55" t="s">
        <v>74</v>
      </c>
      <c r="M55" t="s">
        <v>78</v>
      </c>
      <c r="N55" t="s">
        <v>79</v>
      </c>
      <c r="O55" t="s">
        <v>74</v>
      </c>
      <c r="P55" t="s">
        <v>74</v>
      </c>
      <c r="Q55" t="s">
        <v>74</v>
      </c>
      <c r="R55" t="s">
        <v>74</v>
      </c>
      <c r="S55" t="s">
        <v>74</v>
      </c>
      <c r="T55" t="s">
        <v>74</v>
      </c>
      <c r="U55" t="s">
        <v>1100</v>
      </c>
      <c r="V55" t="s">
        <v>1101</v>
      </c>
      <c r="W55" t="s">
        <v>1102</v>
      </c>
      <c r="X55" t="s">
        <v>1103</v>
      </c>
      <c r="Y55" t="s">
        <v>1104</v>
      </c>
      <c r="Z55" t="s">
        <v>1105</v>
      </c>
      <c r="AA55" t="s">
        <v>1106</v>
      </c>
      <c r="AB55" t="s">
        <v>1107</v>
      </c>
      <c r="AC55" t="s">
        <v>360</v>
      </c>
      <c r="AD55" t="s">
        <v>361</v>
      </c>
      <c r="AE55" t="s">
        <v>74</v>
      </c>
      <c r="AF55" t="s">
        <v>74</v>
      </c>
      <c r="AG55">
        <v>57</v>
      </c>
      <c r="AH55">
        <v>51</v>
      </c>
      <c r="AI55">
        <v>53</v>
      </c>
      <c r="AJ55">
        <v>0</v>
      </c>
      <c r="AK55">
        <v>15</v>
      </c>
      <c r="AL55" t="s">
        <v>141</v>
      </c>
      <c r="AM55" t="s">
        <v>142</v>
      </c>
      <c r="AN55" t="s">
        <v>143</v>
      </c>
      <c r="AO55" t="s">
        <v>427</v>
      </c>
      <c r="AP55" t="s">
        <v>428</v>
      </c>
      <c r="AQ55" t="s">
        <v>74</v>
      </c>
      <c r="AR55" t="s">
        <v>429</v>
      </c>
      <c r="AS55" t="s">
        <v>430</v>
      </c>
      <c r="AT55" t="s">
        <v>1078</v>
      </c>
      <c r="AU55">
        <v>2007</v>
      </c>
      <c r="AV55">
        <v>112</v>
      </c>
      <c r="AW55" t="s">
        <v>1108</v>
      </c>
      <c r="AX55" t="s">
        <v>74</v>
      </c>
      <c r="AY55" t="s">
        <v>74</v>
      </c>
      <c r="AZ55" t="s">
        <v>74</v>
      </c>
      <c r="BA55" t="s">
        <v>74</v>
      </c>
      <c r="BB55" t="s">
        <v>74</v>
      </c>
      <c r="BC55" t="s">
        <v>74</v>
      </c>
      <c r="BD55" t="s">
        <v>1109</v>
      </c>
      <c r="BE55" t="s">
        <v>1110</v>
      </c>
      <c r="BF55" t="str">
        <f>HYPERLINK("http://dx.doi.org/10.1029/2006JD008139","http://dx.doi.org/10.1029/2006JD008139")</f>
        <v>http://dx.doi.org/10.1029/2006JD008139</v>
      </c>
      <c r="BG55" t="s">
        <v>74</v>
      </c>
      <c r="BH55" t="s">
        <v>74</v>
      </c>
      <c r="BI55">
        <v>13</v>
      </c>
      <c r="BJ55" t="s">
        <v>435</v>
      </c>
      <c r="BK55" t="s">
        <v>98</v>
      </c>
      <c r="BL55" t="s">
        <v>435</v>
      </c>
      <c r="BM55" t="s">
        <v>1111</v>
      </c>
      <c r="BN55" t="s">
        <v>74</v>
      </c>
      <c r="BO55" t="s">
        <v>1112</v>
      </c>
      <c r="BP55" t="s">
        <v>74</v>
      </c>
      <c r="BQ55" t="s">
        <v>74</v>
      </c>
      <c r="BR55" t="s">
        <v>101</v>
      </c>
      <c r="BS55" t="s">
        <v>1113</v>
      </c>
      <c r="BT55" t="str">
        <f>HYPERLINK("https%3A%2F%2Fwww.webofscience.com%2Fwos%2Fwoscc%2Ffull-record%2FWOS:000248600200001","View Full Record in Web of Science")</f>
        <v>View Full Record in Web of Science</v>
      </c>
    </row>
    <row r="56" spans="1:72" x14ac:dyDescent="0.15">
      <c r="A56" t="s">
        <v>72</v>
      </c>
      <c r="B56" t="s">
        <v>1114</v>
      </c>
      <c r="C56" t="s">
        <v>74</v>
      </c>
      <c r="D56" t="s">
        <v>74</v>
      </c>
      <c r="E56" t="s">
        <v>74</v>
      </c>
      <c r="F56" t="s">
        <v>1115</v>
      </c>
      <c r="G56" t="s">
        <v>74</v>
      </c>
      <c r="H56" t="s">
        <v>74</v>
      </c>
      <c r="I56" t="s">
        <v>1116</v>
      </c>
      <c r="J56" t="s">
        <v>159</v>
      </c>
      <c r="K56" t="s">
        <v>74</v>
      </c>
      <c r="L56" t="s">
        <v>74</v>
      </c>
      <c r="M56" t="s">
        <v>78</v>
      </c>
      <c r="N56" t="s">
        <v>79</v>
      </c>
      <c r="O56" t="s">
        <v>74</v>
      </c>
      <c r="P56" t="s">
        <v>74</v>
      </c>
      <c r="Q56" t="s">
        <v>74</v>
      </c>
      <c r="R56" t="s">
        <v>74</v>
      </c>
      <c r="S56" t="s">
        <v>74</v>
      </c>
      <c r="T56" t="s">
        <v>74</v>
      </c>
      <c r="U56" t="s">
        <v>1117</v>
      </c>
      <c r="V56" t="s">
        <v>1118</v>
      </c>
      <c r="W56" t="s">
        <v>1119</v>
      </c>
      <c r="X56" t="s">
        <v>1120</v>
      </c>
      <c r="Y56" t="s">
        <v>1121</v>
      </c>
      <c r="Z56" t="s">
        <v>1122</v>
      </c>
      <c r="AA56" t="s">
        <v>1123</v>
      </c>
      <c r="AB56" t="s">
        <v>1124</v>
      </c>
      <c r="AC56" t="s">
        <v>1125</v>
      </c>
      <c r="AD56" t="s">
        <v>361</v>
      </c>
      <c r="AE56" t="s">
        <v>74</v>
      </c>
      <c r="AF56" t="s">
        <v>74</v>
      </c>
      <c r="AG56">
        <v>31</v>
      </c>
      <c r="AH56">
        <v>13</v>
      </c>
      <c r="AI56">
        <v>13</v>
      </c>
      <c r="AJ56">
        <v>0</v>
      </c>
      <c r="AK56">
        <v>5</v>
      </c>
      <c r="AL56" t="s">
        <v>141</v>
      </c>
      <c r="AM56" t="s">
        <v>142</v>
      </c>
      <c r="AN56" t="s">
        <v>143</v>
      </c>
      <c r="AO56" t="s">
        <v>168</v>
      </c>
      <c r="AP56" t="s">
        <v>169</v>
      </c>
      <c r="AQ56" t="s">
        <v>74</v>
      </c>
      <c r="AR56" t="s">
        <v>170</v>
      </c>
      <c r="AS56" t="s">
        <v>171</v>
      </c>
      <c r="AT56" t="s">
        <v>1078</v>
      </c>
      <c r="AU56">
        <v>2007</v>
      </c>
      <c r="AV56">
        <v>112</v>
      </c>
      <c r="AW56" t="s">
        <v>172</v>
      </c>
      <c r="AX56" t="s">
        <v>74</v>
      </c>
      <c r="AY56" t="s">
        <v>74</v>
      </c>
      <c r="AZ56" t="s">
        <v>74</v>
      </c>
      <c r="BA56" t="s">
        <v>74</v>
      </c>
      <c r="BB56" t="s">
        <v>74</v>
      </c>
      <c r="BC56" t="s">
        <v>74</v>
      </c>
      <c r="BD56" t="s">
        <v>1126</v>
      </c>
      <c r="BE56" t="s">
        <v>1127</v>
      </c>
      <c r="BF56" t="str">
        <f>HYPERLINK("http://dx.doi.org/10.1029/2007JA012410","http://dx.doi.org/10.1029/2007JA012410")</f>
        <v>http://dx.doi.org/10.1029/2007JA012410</v>
      </c>
      <c r="BG56" t="s">
        <v>74</v>
      </c>
      <c r="BH56" t="s">
        <v>74</v>
      </c>
      <c r="BI56">
        <v>13</v>
      </c>
      <c r="BJ56" t="s">
        <v>175</v>
      </c>
      <c r="BK56" t="s">
        <v>98</v>
      </c>
      <c r="BL56" t="s">
        <v>175</v>
      </c>
      <c r="BM56" t="s">
        <v>1128</v>
      </c>
      <c r="BN56" t="s">
        <v>74</v>
      </c>
      <c r="BO56" t="s">
        <v>177</v>
      </c>
      <c r="BP56" t="s">
        <v>74</v>
      </c>
      <c r="BQ56" t="s">
        <v>74</v>
      </c>
      <c r="BR56" t="s">
        <v>101</v>
      </c>
      <c r="BS56" t="s">
        <v>1129</v>
      </c>
      <c r="BT56" t="str">
        <f>HYPERLINK("https%3A%2F%2Fwww.webofscience.com%2Fwos%2Fwoscc%2Ffull-record%2FWOS:000248606600002","View Full Record in Web of Science")</f>
        <v>View Full Record in Web of Science</v>
      </c>
    </row>
    <row r="57" spans="1:72" x14ac:dyDescent="0.15">
      <c r="A57" t="s">
        <v>72</v>
      </c>
      <c r="B57" t="s">
        <v>1130</v>
      </c>
      <c r="C57" t="s">
        <v>74</v>
      </c>
      <c r="D57" t="s">
        <v>74</v>
      </c>
      <c r="E57" t="s">
        <v>74</v>
      </c>
      <c r="F57" t="s">
        <v>1131</v>
      </c>
      <c r="G57" t="s">
        <v>74</v>
      </c>
      <c r="H57" t="s">
        <v>74</v>
      </c>
      <c r="I57" t="s">
        <v>1132</v>
      </c>
      <c r="J57" t="s">
        <v>1133</v>
      </c>
      <c r="K57" t="s">
        <v>74</v>
      </c>
      <c r="L57" t="s">
        <v>74</v>
      </c>
      <c r="M57" t="s">
        <v>78</v>
      </c>
      <c r="N57" t="s">
        <v>79</v>
      </c>
      <c r="O57" t="s">
        <v>74</v>
      </c>
      <c r="P57" t="s">
        <v>74</v>
      </c>
      <c r="Q57" t="s">
        <v>74</v>
      </c>
      <c r="R57" t="s">
        <v>74</v>
      </c>
      <c r="S57" t="s">
        <v>74</v>
      </c>
      <c r="T57" t="s">
        <v>1134</v>
      </c>
      <c r="U57" t="s">
        <v>1135</v>
      </c>
      <c r="V57" t="s">
        <v>1136</v>
      </c>
      <c r="W57" t="s">
        <v>1137</v>
      </c>
      <c r="X57" t="s">
        <v>1138</v>
      </c>
      <c r="Y57" t="s">
        <v>1139</v>
      </c>
      <c r="Z57" t="s">
        <v>1140</v>
      </c>
      <c r="AA57" t="s">
        <v>1141</v>
      </c>
      <c r="AB57" t="s">
        <v>1142</v>
      </c>
      <c r="AC57" t="s">
        <v>1143</v>
      </c>
      <c r="AD57" t="s">
        <v>361</v>
      </c>
      <c r="AE57" t="s">
        <v>74</v>
      </c>
      <c r="AF57" t="s">
        <v>74</v>
      </c>
      <c r="AG57">
        <v>54</v>
      </c>
      <c r="AH57">
        <v>29</v>
      </c>
      <c r="AI57">
        <v>32</v>
      </c>
      <c r="AJ57">
        <v>1</v>
      </c>
      <c r="AK57">
        <v>27</v>
      </c>
      <c r="AL57" t="s">
        <v>592</v>
      </c>
      <c r="AM57" t="s">
        <v>273</v>
      </c>
      <c r="AN57" t="s">
        <v>593</v>
      </c>
      <c r="AO57" t="s">
        <v>1144</v>
      </c>
      <c r="AP57" t="s">
        <v>74</v>
      </c>
      <c r="AQ57" t="s">
        <v>74</v>
      </c>
      <c r="AR57" t="s">
        <v>1145</v>
      </c>
      <c r="AS57" t="s">
        <v>1146</v>
      </c>
      <c r="AT57" t="s">
        <v>1078</v>
      </c>
      <c r="AU57">
        <v>2007</v>
      </c>
      <c r="AV57">
        <v>251</v>
      </c>
      <c r="AW57">
        <v>2</v>
      </c>
      <c r="AX57" t="s">
        <v>74</v>
      </c>
      <c r="AY57" t="s">
        <v>74</v>
      </c>
      <c r="AZ57" t="s">
        <v>74</v>
      </c>
      <c r="BA57" t="s">
        <v>74</v>
      </c>
      <c r="BB57">
        <v>239</v>
      </c>
      <c r="BC57">
        <v>253</v>
      </c>
      <c r="BD57" t="s">
        <v>74</v>
      </c>
      <c r="BE57" t="s">
        <v>1147</v>
      </c>
      <c r="BF57" t="str">
        <f>HYPERLINK("http://dx.doi.org/10.1016/j.palaeo.2007.04.004","http://dx.doi.org/10.1016/j.palaeo.2007.04.004")</f>
        <v>http://dx.doi.org/10.1016/j.palaeo.2007.04.004</v>
      </c>
      <c r="BG57" t="s">
        <v>74</v>
      </c>
      <c r="BH57" t="s">
        <v>74</v>
      </c>
      <c r="BI57">
        <v>15</v>
      </c>
      <c r="BJ57" t="s">
        <v>1148</v>
      </c>
      <c r="BK57" t="s">
        <v>98</v>
      </c>
      <c r="BL57" t="s">
        <v>1149</v>
      </c>
      <c r="BM57" t="s">
        <v>1150</v>
      </c>
      <c r="BN57" t="s">
        <v>74</v>
      </c>
      <c r="BO57" t="s">
        <v>74</v>
      </c>
      <c r="BP57" t="s">
        <v>74</v>
      </c>
      <c r="BQ57" t="s">
        <v>74</v>
      </c>
      <c r="BR57" t="s">
        <v>101</v>
      </c>
      <c r="BS57" t="s">
        <v>1151</v>
      </c>
      <c r="BT57" t="str">
        <f>HYPERLINK("https%3A%2F%2Fwww.webofscience.com%2Fwos%2Fwoscc%2Ffull-record%2FWOS:000248712200005","View Full Record in Web of Science")</f>
        <v>View Full Record in Web of Science</v>
      </c>
    </row>
    <row r="58" spans="1:72" x14ac:dyDescent="0.15">
      <c r="A58" t="s">
        <v>72</v>
      </c>
      <c r="B58" t="s">
        <v>1152</v>
      </c>
      <c r="C58" t="s">
        <v>74</v>
      </c>
      <c r="D58" t="s">
        <v>74</v>
      </c>
      <c r="E58" t="s">
        <v>74</v>
      </c>
      <c r="F58" t="s">
        <v>1153</v>
      </c>
      <c r="G58" t="s">
        <v>74</v>
      </c>
      <c r="H58" t="s">
        <v>74</v>
      </c>
      <c r="I58" t="s">
        <v>1154</v>
      </c>
      <c r="J58" t="s">
        <v>1133</v>
      </c>
      <c r="K58" t="s">
        <v>74</v>
      </c>
      <c r="L58" t="s">
        <v>74</v>
      </c>
      <c r="M58" t="s">
        <v>78</v>
      </c>
      <c r="N58" t="s">
        <v>79</v>
      </c>
      <c r="O58" t="s">
        <v>74</v>
      </c>
      <c r="P58" t="s">
        <v>74</v>
      </c>
      <c r="Q58" t="s">
        <v>74</v>
      </c>
      <c r="R58" t="s">
        <v>74</v>
      </c>
      <c r="S58" t="s">
        <v>74</v>
      </c>
      <c r="T58" t="s">
        <v>1155</v>
      </c>
      <c r="U58" t="s">
        <v>1156</v>
      </c>
      <c r="V58" t="s">
        <v>1157</v>
      </c>
      <c r="W58" t="s">
        <v>1158</v>
      </c>
      <c r="X58" t="s">
        <v>1159</v>
      </c>
      <c r="Y58" t="s">
        <v>1160</v>
      </c>
      <c r="Z58" t="s">
        <v>1161</v>
      </c>
      <c r="AA58" t="s">
        <v>1162</v>
      </c>
      <c r="AB58" t="s">
        <v>1163</v>
      </c>
      <c r="AC58" t="s">
        <v>1143</v>
      </c>
      <c r="AD58" t="s">
        <v>361</v>
      </c>
      <c r="AE58" t="s">
        <v>74</v>
      </c>
      <c r="AF58" t="s">
        <v>74</v>
      </c>
      <c r="AG58">
        <v>55</v>
      </c>
      <c r="AH58">
        <v>98</v>
      </c>
      <c r="AI58">
        <v>102</v>
      </c>
      <c r="AJ58">
        <v>0</v>
      </c>
      <c r="AK58">
        <v>18</v>
      </c>
      <c r="AL58" t="s">
        <v>272</v>
      </c>
      <c r="AM58" t="s">
        <v>273</v>
      </c>
      <c r="AN58" t="s">
        <v>274</v>
      </c>
      <c r="AO58" t="s">
        <v>1144</v>
      </c>
      <c r="AP58" t="s">
        <v>1164</v>
      </c>
      <c r="AQ58" t="s">
        <v>74</v>
      </c>
      <c r="AR58" t="s">
        <v>1145</v>
      </c>
      <c r="AS58" t="s">
        <v>1146</v>
      </c>
      <c r="AT58" t="s">
        <v>1078</v>
      </c>
      <c r="AU58">
        <v>2007</v>
      </c>
      <c r="AV58">
        <v>251</v>
      </c>
      <c r="AW58">
        <v>2</v>
      </c>
      <c r="AX58" t="s">
        <v>74</v>
      </c>
      <c r="AY58" t="s">
        <v>74</v>
      </c>
      <c r="AZ58" t="s">
        <v>74</v>
      </c>
      <c r="BA58" t="s">
        <v>74</v>
      </c>
      <c r="BB58">
        <v>254</v>
      </c>
      <c r="BC58">
        <v>267</v>
      </c>
      <c r="BD58" t="s">
        <v>74</v>
      </c>
      <c r="BE58" t="s">
        <v>1165</v>
      </c>
      <c r="BF58" t="str">
        <f>HYPERLINK("http://dx.doi.org/10.1016/j.palaeo.2007.03.050","http://dx.doi.org/10.1016/j.palaeo.2007.03.050")</f>
        <v>http://dx.doi.org/10.1016/j.palaeo.2007.03.050</v>
      </c>
      <c r="BG58" t="s">
        <v>74</v>
      </c>
      <c r="BH58" t="s">
        <v>74</v>
      </c>
      <c r="BI58">
        <v>14</v>
      </c>
      <c r="BJ58" t="s">
        <v>1148</v>
      </c>
      <c r="BK58" t="s">
        <v>98</v>
      </c>
      <c r="BL58" t="s">
        <v>1149</v>
      </c>
      <c r="BM58" t="s">
        <v>1150</v>
      </c>
      <c r="BN58" t="s">
        <v>74</v>
      </c>
      <c r="BO58" t="s">
        <v>74</v>
      </c>
      <c r="BP58" t="s">
        <v>74</v>
      </c>
      <c r="BQ58" t="s">
        <v>74</v>
      </c>
      <c r="BR58" t="s">
        <v>101</v>
      </c>
      <c r="BS58" t="s">
        <v>1166</v>
      </c>
      <c r="BT58" t="str">
        <f>HYPERLINK("https%3A%2F%2Fwww.webofscience.com%2Fwos%2Fwoscc%2Ffull-record%2FWOS:000248712200006","View Full Record in Web of Science")</f>
        <v>View Full Record in Web of Science</v>
      </c>
    </row>
    <row r="59" spans="1:72" x14ac:dyDescent="0.15">
      <c r="A59" t="s">
        <v>72</v>
      </c>
      <c r="B59" t="s">
        <v>1167</v>
      </c>
      <c r="C59" t="s">
        <v>74</v>
      </c>
      <c r="D59" t="s">
        <v>74</v>
      </c>
      <c r="E59" t="s">
        <v>74</v>
      </c>
      <c r="F59" t="s">
        <v>1168</v>
      </c>
      <c r="G59" t="s">
        <v>74</v>
      </c>
      <c r="H59" t="s">
        <v>74</v>
      </c>
      <c r="I59" t="s">
        <v>1169</v>
      </c>
      <c r="J59" t="s">
        <v>1170</v>
      </c>
      <c r="K59" t="s">
        <v>74</v>
      </c>
      <c r="L59" t="s">
        <v>74</v>
      </c>
      <c r="M59" t="s">
        <v>78</v>
      </c>
      <c r="N59" t="s">
        <v>79</v>
      </c>
      <c r="O59" t="s">
        <v>74</v>
      </c>
      <c r="P59" t="s">
        <v>74</v>
      </c>
      <c r="Q59" t="s">
        <v>74</v>
      </c>
      <c r="R59" t="s">
        <v>74</v>
      </c>
      <c r="S59" t="s">
        <v>74</v>
      </c>
      <c r="T59" t="s">
        <v>74</v>
      </c>
      <c r="U59" t="s">
        <v>1171</v>
      </c>
      <c r="V59" t="s">
        <v>1172</v>
      </c>
      <c r="W59" t="s">
        <v>1173</v>
      </c>
      <c r="X59" t="s">
        <v>1174</v>
      </c>
      <c r="Y59" t="s">
        <v>1175</v>
      </c>
      <c r="Z59" t="s">
        <v>1176</v>
      </c>
      <c r="AA59" t="s">
        <v>1177</v>
      </c>
      <c r="AB59" t="s">
        <v>1178</v>
      </c>
      <c r="AC59" t="s">
        <v>74</v>
      </c>
      <c r="AD59" t="s">
        <v>74</v>
      </c>
      <c r="AE59" t="s">
        <v>74</v>
      </c>
      <c r="AF59" t="s">
        <v>74</v>
      </c>
      <c r="AG59">
        <v>27</v>
      </c>
      <c r="AH59">
        <v>35</v>
      </c>
      <c r="AI59">
        <v>39</v>
      </c>
      <c r="AJ59">
        <v>0</v>
      </c>
      <c r="AK59">
        <v>13</v>
      </c>
      <c r="AL59" t="s">
        <v>1179</v>
      </c>
      <c r="AM59" t="s">
        <v>142</v>
      </c>
      <c r="AN59" t="s">
        <v>1180</v>
      </c>
      <c r="AO59" t="s">
        <v>1181</v>
      </c>
      <c r="AP59" t="s">
        <v>74</v>
      </c>
      <c r="AQ59" t="s">
        <v>74</v>
      </c>
      <c r="AR59" t="s">
        <v>1182</v>
      </c>
      <c r="AS59" t="s">
        <v>1183</v>
      </c>
      <c r="AT59" t="s">
        <v>1184</v>
      </c>
      <c r="AU59">
        <v>2007</v>
      </c>
      <c r="AV59">
        <v>73</v>
      </c>
      <c r="AW59">
        <v>15</v>
      </c>
      <c r="AX59" t="s">
        <v>74</v>
      </c>
      <c r="AY59" t="s">
        <v>74</v>
      </c>
      <c r="AZ59" t="s">
        <v>74</v>
      </c>
      <c r="BA59" t="s">
        <v>74</v>
      </c>
      <c r="BB59">
        <v>4849</v>
      </c>
      <c r="BC59">
        <v>4856</v>
      </c>
      <c r="BD59" t="s">
        <v>74</v>
      </c>
      <c r="BE59" t="s">
        <v>1185</v>
      </c>
      <c r="BF59" t="str">
        <f>HYPERLINK("http://dx.doi.org/10.1128/AEM.00824-07","http://dx.doi.org/10.1128/AEM.00824-07")</f>
        <v>http://dx.doi.org/10.1128/AEM.00824-07</v>
      </c>
      <c r="BG59" t="s">
        <v>74</v>
      </c>
      <c r="BH59" t="s">
        <v>74</v>
      </c>
      <c r="BI59">
        <v>8</v>
      </c>
      <c r="BJ59" t="s">
        <v>1186</v>
      </c>
      <c r="BK59" t="s">
        <v>98</v>
      </c>
      <c r="BL59" t="s">
        <v>1186</v>
      </c>
      <c r="BM59" t="s">
        <v>1187</v>
      </c>
      <c r="BN59">
        <v>17526788</v>
      </c>
      <c r="BO59" t="s">
        <v>198</v>
      </c>
      <c r="BP59" t="s">
        <v>74</v>
      </c>
      <c r="BQ59" t="s">
        <v>74</v>
      </c>
      <c r="BR59" t="s">
        <v>101</v>
      </c>
      <c r="BS59" t="s">
        <v>1188</v>
      </c>
      <c r="BT59" t="str">
        <f>HYPERLINK("https%3A%2F%2Fwww.webofscience.com%2Fwos%2Fwoscc%2Ffull-record%2FWOS:000248587600018","View Full Record in Web of Science")</f>
        <v>View Full Record in Web of Science</v>
      </c>
    </row>
    <row r="60" spans="1:72" x14ac:dyDescent="0.15">
      <c r="A60" t="s">
        <v>72</v>
      </c>
      <c r="B60" t="s">
        <v>1189</v>
      </c>
      <c r="C60" t="s">
        <v>74</v>
      </c>
      <c r="D60" t="s">
        <v>74</v>
      </c>
      <c r="E60" t="s">
        <v>74</v>
      </c>
      <c r="F60" t="s">
        <v>1190</v>
      </c>
      <c r="G60" t="s">
        <v>74</v>
      </c>
      <c r="H60" t="s">
        <v>74</v>
      </c>
      <c r="I60" t="s">
        <v>1191</v>
      </c>
      <c r="J60" t="s">
        <v>1192</v>
      </c>
      <c r="K60" t="s">
        <v>74</v>
      </c>
      <c r="L60" t="s">
        <v>74</v>
      </c>
      <c r="M60" t="s">
        <v>78</v>
      </c>
      <c r="N60" t="s">
        <v>79</v>
      </c>
      <c r="O60" t="s">
        <v>74</v>
      </c>
      <c r="P60" t="s">
        <v>74</v>
      </c>
      <c r="Q60" t="s">
        <v>74</v>
      </c>
      <c r="R60" t="s">
        <v>74</v>
      </c>
      <c r="S60" t="s">
        <v>74</v>
      </c>
      <c r="T60" t="s">
        <v>1193</v>
      </c>
      <c r="U60" t="s">
        <v>1194</v>
      </c>
      <c r="V60" t="s">
        <v>1195</v>
      </c>
      <c r="W60" t="s">
        <v>1196</v>
      </c>
      <c r="X60" t="s">
        <v>1197</v>
      </c>
      <c r="Y60" t="s">
        <v>1198</v>
      </c>
      <c r="Z60" t="s">
        <v>1199</v>
      </c>
      <c r="AA60" t="s">
        <v>1200</v>
      </c>
      <c r="AB60" t="s">
        <v>1201</v>
      </c>
      <c r="AC60" t="s">
        <v>74</v>
      </c>
      <c r="AD60" t="s">
        <v>74</v>
      </c>
      <c r="AE60" t="s">
        <v>74</v>
      </c>
      <c r="AF60" t="s">
        <v>74</v>
      </c>
      <c r="AG60">
        <v>66</v>
      </c>
      <c r="AH60">
        <v>39</v>
      </c>
      <c r="AI60">
        <v>50</v>
      </c>
      <c r="AJ60">
        <v>5</v>
      </c>
      <c r="AK60">
        <v>29</v>
      </c>
      <c r="AL60" t="s">
        <v>1202</v>
      </c>
      <c r="AM60" t="s">
        <v>1203</v>
      </c>
      <c r="AN60" t="s">
        <v>1204</v>
      </c>
      <c r="AO60" t="s">
        <v>1205</v>
      </c>
      <c r="AP60" t="s">
        <v>1206</v>
      </c>
      <c r="AQ60" t="s">
        <v>74</v>
      </c>
      <c r="AR60" t="s">
        <v>1207</v>
      </c>
      <c r="AS60" t="s">
        <v>1208</v>
      </c>
      <c r="AT60" t="s">
        <v>1184</v>
      </c>
      <c r="AU60">
        <v>2007</v>
      </c>
      <c r="AV60">
        <v>13</v>
      </c>
      <c r="AW60">
        <v>4</v>
      </c>
      <c r="AX60" t="s">
        <v>74</v>
      </c>
      <c r="AY60" t="s">
        <v>74</v>
      </c>
      <c r="AZ60" t="s">
        <v>74</v>
      </c>
      <c r="BA60" t="s">
        <v>74</v>
      </c>
      <c r="BB60">
        <v>241</v>
      </c>
      <c r="BC60">
        <v>255</v>
      </c>
      <c r="BD60" t="s">
        <v>74</v>
      </c>
      <c r="BE60" t="s">
        <v>1209</v>
      </c>
      <c r="BF60" t="str">
        <f>HYPERLINK("http://dx.doi.org/10.1111/j.1365-2095.2007.00466.x","http://dx.doi.org/10.1111/j.1365-2095.2007.00466.x")</f>
        <v>http://dx.doi.org/10.1111/j.1365-2095.2007.00466.x</v>
      </c>
      <c r="BG60" t="s">
        <v>74</v>
      </c>
      <c r="BH60" t="s">
        <v>74</v>
      </c>
      <c r="BI60">
        <v>15</v>
      </c>
      <c r="BJ60" t="s">
        <v>1210</v>
      </c>
      <c r="BK60" t="s">
        <v>98</v>
      </c>
      <c r="BL60" t="s">
        <v>1210</v>
      </c>
      <c r="BM60" t="s">
        <v>1211</v>
      </c>
      <c r="BN60" t="s">
        <v>74</v>
      </c>
      <c r="BO60" t="s">
        <v>1212</v>
      </c>
      <c r="BP60" t="s">
        <v>74</v>
      </c>
      <c r="BQ60" t="s">
        <v>74</v>
      </c>
      <c r="BR60" t="s">
        <v>101</v>
      </c>
      <c r="BS60" t="s">
        <v>1213</v>
      </c>
      <c r="BT60" t="str">
        <f>HYPERLINK("https%3A%2F%2Fwww.webofscience.com%2Fwos%2Fwoscc%2Ffull-record%2FWOS:000247488400001","View Full Record in Web of Science")</f>
        <v>View Full Record in Web of Science</v>
      </c>
    </row>
    <row r="61" spans="1:72" x14ac:dyDescent="0.15">
      <c r="A61" t="s">
        <v>72</v>
      </c>
      <c r="B61" t="s">
        <v>1214</v>
      </c>
      <c r="C61" t="s">
        <v>74</v>
      </c>
      <c r="D61" t="s">
        <v>74</v>
      </c>
      <c r="E61" t="s">
        <v>74</v>
      </c>
      <c r="F61" t="s">
        <v>1215</v>
      </c>
      <c r="G61" t="s">
        <v>74</v>
      </c>
      <c r="H61" t="s">
        <v>74</v>
      </c>
      <c r="I61" t="s">
        <v>1216</v>
      </c>
      <c r="J61" t="s">
        <v>1217</v>
      </c>
      <c r="K61" t="s">
        <v>74</v>
      </c>
      <c r="L61" t="s">
        <v>74</v>
      </c>
      <c r="M61" t="s">
        <v>78</v>
      </c>
      <c r="N61" t="s">
        <v>79</v>
      </c>
      <c r="O61" t="s">
        <v>74</v>
      </c>
      <c r="P61" t="s">
        <v>74</v>
      </c>
      <c r="Q61" t="s">
        <v>74</v>
      </c>
      <c r="R61" t="s">
        <v>74</v>
      </c>
      <c r="S61" t="s">
        <v>74</v>
      </c>
      <c r="T61" t="s">
        <v>74</v>
      </c>
      <c r="U61" t="s">
        <v>1218</v>
      </c>
      <c r="V61" t="s">
        <v>1219</v>
      </c>
      <c r="W61" t="s">
        <v>1220</v>
      </c>
      <c r="X61" t="s">
        <v>1221</v>
      </c>
      <c r="Y61" t="s">
        <v>1222</v>
      </c>
      <c r="Z61" t="s">
        <v>1223</v>
      </c>
      <c r="AA61" t="s">
        <v>1224</v>
      </c>
      <c r="AB61" t="s">
        <v>74</v>
      </c>
      <c r="AC61" t="s">
        <v>74</v>
      </c>
      <c r="AD61" t="s">
        <v>74</v>
      </c>
      <c r="AE61" t="s">
        <v>74</v>
      </c>
      <c r="AF61" t="s">
        <v>74</v>
      </c>
      <c r="AG61">
        <v>43</v>
      </c>
      <c r="AH61">
        <v>16</v>
      </c>
      <c r="AI61">
        <v>19</v>
      </c>
      <c r="AJ61">
        <v>1</v>
      </c>
      <c r="AK61">
        <v>25</v>
      </c>
      <c r="AL61" t="s">
        <v>1225</v>
      </c>
      <c r="AM61" t="s">
        <v>1226</v>
      </c>
      <c r="AN61" t="s">
        <v>1227</v>
      </c>
      <c r="AO61" t="s">
        <v>1228</v>
      </c>
      <c r="AP61" t="s">
        <v>1229</v>
      </c>
      <c r="AQ61" t="s">
        <v>74</v>
      </c>
      <c r="AR61" t="s">
        <v>1230</v>
      </c>
      <c r="AS61" t="s">
        <v>1231</v>
      </c>
      <c r="AT61" t="s">
        <v>1184</v>
      </c>
      <c r="AU61">
        <v>2007</v>
      </c>
      <c r="AV61">
        <v>39</v>
      </c>
      <c r="AW61">
        <v>3</v>
      </c>
      <c r="AX61" t="s">
        <v>74</v>
      </c>
      <c r="AY61" t="s">
        <v>74</v>
      </c>
      <c r="AZ61" t="s">
        <v>74</v>
      </c>
      <c r="BA61" t="s">
        <v>74</v>
      </c>
      <c r="BB61">
        <v>347</v>
      </c>
      <c r="BC61">
        <v>352</v>
      </c>
      <c r="BD61" t="s">
        <v>74</v>
      </c>
      <c r="BE61" t="s">
        <v>1232</v>
      </c>
      <c r="BF61" t="str">
        <f>HYPERLINK("http://dx.doi.org/10.1657/1523-0430(06-017)","http://dx.doi.org/10.1657/1523-0430(06-017)")</f>
        <v>http://dx.doi.org/10.1657/1523-0430(06-017)</v>
      </c>
      <c r="BG61" t="s">
        <v>74</v>
      </c>
      <c r="BH61" t="s">
        <v>74</v>
      </c>
      <c r="BI61">
        <v>6</v>
      </c>
      <c r="BJ61" t="s">
        <v>1233</v>
      </c>
      <c r="BK61" t="s">
        <v>98</v>
      </c>
      <c r="BL61" t="s">
        <v>1234</v>
      </c>
      <c r="BM61" t="s">
        <v>1235</v>
      </c>
      <c r="BN61" t="s">
        <v>74</v>
      </c>
      <c r="BO61" t="s">
        <v>74</v>
      </c>
      <c r="BP61" t="s">
        <v>74</v>
      </c>
      <c r="BQ61" t="s">
        <v>74</v>
      </c>
      <c r="BR61" t="s">
        <v>101</v>
      </c>
      <c r="BS61" t="s">
        <v>1236</v>
      </c>
      <c r="BT61" t="str">
        <f>HYPERLINK("https%3A%2F%2Fwww.webofscience.com%2Fwos%2Fwoscc%2Ffull-record%2FWOS:000249936100001","View Full Record in Web of Science")</f>
        <v>View Full Record in Web of Science</v>
      </c>
    </row>
    <row r="62" spans="1:72" x14ac:dyDescent="0.15">
      <c r="A62" t="s">
        <v>72</v>
      </c>
      <c r="B62" t="s">
        <v>1237</v>
      </c>
      <c r="C62" t="s">
        <v>74</v>
      </c>
      <c r="D62" t="s">
        <v>74</v>
      </c>
      <c r="E62" t="s">
        <v>74</v>
      </c>
      <c r="F62" t="s">
        <v>1238</v>
      </c>
      <c r="G62" t="s">
        <v>74</v>
      </c>
      <c r="H62" t="s">
        <v>74</v>
      </c>
      <c r="I62" t="s">
        <v>1239</v>
      </c>
      <c r="J62" t="s">
        <v>1217</v>
      </c>
      <c r="K62" t="s">
        <v>74</v>
      </c>
      <c r="L62" t="s">
        <v>74</v>
      </c>
      <c r="M62" t="s">
        <v>78</v>
      </c>
      <c r="N62" t="s">
        <v>79</v>
      </c>
      <c r="O62" t="s">
        <v>74</v>
      </c>
      <c r="P62" t="s">
        <v>74</v>
      </c>
      <c r="Q62" t="s">
        <v>74</v>
      </c>
      <c r="R62" t="s">
        <v>74</v>
      </c>
      <c r="S62" t="s">
        <v>74</v>
      </c>
      <c r="T62" t="s">
        <v>74</v>
      </c>
      <c r="U62" t="s">
        <v>1240</v>
      </c>
      <c r="V62" t="s">
        <v>1241</v>
      </c>
      <c r="W62" t="s">
        <v>1242</v>
      </c>
      <c r="X62" t="s">
        <v>1243</v>
      </c>
      <c r="Y62" t="s">
        <v>1244</v>
      </c>
      <c r="Z62" t="s">
        <v>1245</v>
      </c>
      <c r="AA62" t="s">
        <v>1246</v>
      </c>
      <c r="AB62" t="s">
        <v>1247</v>
      </c>
      <c r="AC62" t="s">
        <v>74</v>
      </c>
      <c r="AD62" t="s">
        <v>74</v>
      </c>
      <c r="AE62" t="s">
        <v>74</v>
      </c>
      <c r="AF62" t="s">
        <v>74</v>
      </c>
      <c r="AG62">
        <v>68</v>
      </c>
      <c r="AH62">
        <v>74</v>
      </c>
      <c r="AI62">
        <v>87</v>
      </c>
      <c r="AJ62">
        <v>1</v>
      </c>
      <c r="AK62">
        <v>56</v>
      </c>
      <c r="AL62" t="s">
        <v>1225</v>
      </c>
      <c r="AM62" t="s">
        <v>1226</v>
      </c>
      <c r="AN62" t="s">
        <v>1227</v>
      </c>
      <c r="AO62" t="s">
        <v>1228</v>
      </c>
      <c r="AP62" t="s">
        <v>1229</v>
      </c>
      <c r="AQ62" t="s">
        <v>74</v>
      </c>
      <c r="AR62" t="s">
        <v>1230</v>
      </c>
      <c r="AS62" t="s">
        <v>1231</v>
      </c>
      <c r="AT62" t="s">
        <v>1184</v>
      </c>
      <c r="AU62">
        <v>2007</v>
      </c>
      <c r="AV62">
        <v>39</v>
      </c>
      <c r="AW62">
        <v>3</v>
      </c>
      <c r="AX62" t="s">
        <v>74</v>
      </c>
      <c r="AY62" t="s">
        <v>74</v>
      </c>
      <c r="AZ62" t="s">
        <v>74</v>
      </c>
      <c r="BA62" t="s">
        <v>74</v>
      </c>
      <c r="BB62">
        <v>353</v>
      </c>
      <c r="BC62">
        <v>364</v>
      </c>
      <c r="BD62" t="s">
        <v>74</v>
      </c>
      <c r="BE62" t="s">
        <v>1248</v>
      </c>
      <c r="BF62" t="str">
        <f>HYPERLINK("http://dx.doi.org/10.1657/1523-0430(06-055)[BADER]2.0.CO;2","http://dx.doi.org/10.1657/1523-0430(06-055)[BADER]2.0.CO;2")</f>
        <v>http://dx.doi.org/10.1657/1523-0430(06-055)[BADER]2.0.CO;2</v>
      </c>
      <c r="BG62" t="s">
        <v>74</v>
      </c>
      <c r="BH62" t="s">
        <v>74</v>
      </c>
      <c r="BI62">
        <v>12</v>
      </c>
      <c r="BJ62" t="s">
        <v>1233</v>
      </c>
      <c r="BK62" t="s">
        <v>98</v>
      </c>
      <c r="BL62" t="s">
        <v>1234</v>
      </c>
      <c r="BM62" t="s">
        <v>1235</v>
      </c>
      <c r="BN62" t="s">
        <v>74</v>
      </c>
      <c r="BO62" t="s">
        <v>1249</v>
      </c>
      <c r="BP62" t="s">
        <v>74</v>
      </c>
      <c r="BQ62" t="s">
        <v>74</v>
      </c>
      <c r="BR62" t="s">
        <v>101</v>
      </c>
      <c r="BS62" t="s">
        <v>1250</v>
      </c>
      <c r="BT62" t="str">
        <f>HYPERLINK("https%3A%2F%2Fwww.webofscience.com%2Fwos%2Fwoscc%2Ffull-record%2FWOS:000249936100002","View Full Record in Web of Science")</f>
        <v>View Full Record in Web of Science</v>
      </c>
    </row>
    <row r="63" spans="1:72" x14ac:dyDescent="0.15">
      <c r="A63" t="s">
        <v>72</v>
      </c>
      <c r="B63" t="s">
        <v>1251</v>
      </c>
      <c r="C63" t="s">
        <v>74</v>
      </c>
      <c r="D63" t="s">
        <v>74</v>
      </c>
      <c r="E63" t="s">
        <v>74</v>
      </c>
      <c r="F63" t="s">
        <v>1252</v>
      </c>
      <c r="G63" t="s">
        <v>74</v>
      </c>
      <c r="H63" t="s">
        <v>74</v>
      </c>
      <c r="I63" t="s">
        <v>1253</v>
      </c>
      <c r="J63" t="s">
        <v>1217</v>
      </c>
      <c r="K63" t="s">
        <v>74</v>
      </c>
      <c r="L63" t="s">
        <v>74</v>
      </c>
      <c r="M63" t="s">
        <v>78</v>
      </c>
      <c r="N63" t="s">
        <v>79</v>
      </c>
      <c r="O63" t="s">
        <v>74</v>
      </c>
      <c r="P63" t="s">
        <v>74</v>
      </c>
      <c r="Q63" t="s">
        <v>74</v>
      </c>
      <c r="R63" t="s">
        <v>74</v>
      </c>
      <c r="S63" t="s">
        <v>74</v>
      </c>
      <c r="T63" t="s">
        <v>74</v>
      </c>
      <c r="U63" t="s">
        <v>1254</v>
      </c>
      <c r="V63" t="s">
        <v>1255</v>
      </c>
      <c r="W63" t="s">
        <v>1256</v>
      </c>
      <c r="X63" t="s">
        <v>1257</v>
      </c>
      <c r="Y63" t="s">
        <v>1258</v>
      </c>
      <c r="Z63" t="s">
        <v>1259</v>
      </c>
      <c r="AA63" t="s">
        <v>1260</v>
      </c>
      <c r="AB63" t="s">
        <v>1261</v>
      </c>
      <c r="AC63" t="s">
        <v>74</v>
      </c>
      <c r="AD63" t="s">
        <v>74</v>
      </c>
      <c r="AE63" t="s">
        <v>74</v>
      </c>
      <c r="AF63" t="s">
        <v>74</v>
      </c>
      <c r="AG63">
        <v>26</v>
      </c>
      <c r="AH63">
        <v>24</v>
      </c>
      <c r="AI63">
        <v>24</v>
      </c>
      <c r="AJ63">
        <v>0</v>
      </c>
      <c r="AK63">
        <v>16</v>
      </c>
      <c r="AL63" t="s">
        <v>1262</v>
      </c>
      <c r="AM63" t="s">
        <v>1263</v>
      </c>
      <c r="AN63" t="s">
        <v>1264</v>
      </c>
      <c r="AO63" t="s">
        <v>1228</v>
      </c>
      <c r="AP63" t="s">
        <v>1229</v>
      </c>
      <c r="AQ63" t="s">
        <v>74</v>
      </c>
      <c r="AR63" t="s">
        <v>1230</v>
      </c>
      <c r="AS63" t="s">
        <v>1231</v>
      </c>
      <c r="AT63" t="s">
        <v>1184</v>
      </c>
      <c r="AU63">
        <v>2007</v>
      </c>
      <c r="AV63">
        <v>39</v>
      </c>
      <c r="AW63">
        <v>3</v>
      </c>
      <c r="AX63" t="s">
        <v>74</v>
      </c>
      <c r="AY63" t="s">
        <v>74</v>
      </c>
      <c r="AZ63" t="s">
        <v>74</v>
      </c>
      <c r="BA63" t="s">
        <v>74</v>
      </c>
      <c r="BB63">
        <v>365</v>
      </c>
      <c r="BC63">
        <v>374</v>
      </c>
      <c r="BD63" t="s">
        <v>74</v>
      </c>
      <c r="BE63" t="s">
        <v>1265</v>
      </c>
      <c r="BF63" t="str">
        <f>HYPERLINK("http://dx.doi.org/10.1657/1523-0430(06-023)[BEWLEY]2.0.CO;2","http://dx.doi.org/10.1657/1523-0430(06-023)[BEWLEY]2.0.CO;2")</f>
        <v>http://dx.doi.org/10.1657/1523-0430(06-023)[BEWLEY]2.0.CO;2</v>
      </c>
      <c r="BG63" t="s">
        <v>74</v>
      </c>
      <c r="BH63" t="s">
        <v>74</v>
      </c>
      <c r="BI63">
        <v>10</v>
      </c>
      <c r="BJ63" t="s">
        <v>1233</v>
      </c>
      <c r="BK63" t="s">
        <v>98</v>
      </c>
      <c r="BL63" t="s">
        <v>1234</v>
      </c>
      <c r="BM63" t="s">
        <v>1235</v>
      </c>
      <c r="BN63" t="s">
        <v>74</v>
      </c>
      <c r="BO63" t="s">
        <v>1249</v>
      </c>
      <c r="BP63" t="s">
        <v>74</v>
      </c>
      <c r="BQ63" t="s">
        <v>74</v>
      </c>
      <c r="BR63" t="s">
        <v>101</v>
      </c>
      <c r="BS63" t="s">
        <v>1266</v>
      </c>
      <c r="BT63" t="str">
        <f>HYPERLINK("https%3A%2F%2Fwww.webofscience.com%2Fwos%2Fwoscc%2Ffull-record%2FWOS:000249936100003","View Full Record in Web of Science")</f>
        <v>View Full Record in Web of Science</v>
      </c>
    </row>
    <row r="64" spans="1:72" x14ac:dyDescent="0.15">
      <c r="A64" t="s">
        <v>72</v>
      </c>
      <c r="B64" t="s">
        <v>1267</v>
      </c>
      <c r="C64" t="s">
        <v>74</v>
      </c>
      <c r="D64" t="s">
        <v>74</v>
      </c>
      <c r="E64" t="s">
        <v>74</v>
      </c>
      <c r="F64" t="s">
        <v>1268</v>
      </c>
      <c r="G64" t="s">
        <v>74</v>
      </c>
      <c r="H64" t="s">
        <v>74</v>
      </c>
      <c r="I64" t="s">
        <v>1269</v>
      </c>
      <c r="J64" t="s">
        <v>1217</v>
      </c>
      <c r="K64" t="s">
        <v>74</v>
      </c>
      <c r="L64" t="s">
        <v>74</v>
      </c>
      <c r="M64" t="s">
        <v>78</v>
      </c>
      <c r="N64" t="s">
        <v>79</v>
      </c>
      <c r="O64" t="s">
        <v>74</v>
      </c>
      <c r="P64" t="s">
        <v>74</v>
      </c>
      <c r="Q64" t="s">
        <v>74</v>
      </c>
      <c r="R64" t="s">
        <v>74</v>
      </c>
      <c r="S64" t="s">
        <v>74</v>
      </c>
      <c r="T64" t="s">
        <v>74</v>
      </c>
      <c r="U64" t="s">
        <v>1270</v>
      </c>
      <c r="V64" t="s">
        <v>1271</v>
      </c>
      <c r="W64" t="s">
        <v>1272</v>
      </c>
      <c r="X64" t="s">
        <v>1273</v>
      </c>
      <c r="Y64" t="s">
        <v>1274</v>
      </c>
      <c r="Z64" t="s">
        <v>1275</v>
      </c>
      <c r="AA64" t="s">
        <v>1276</v>
      </c>
      <c r="AB64" t="s">
        <v>74</v>
      </c>
      <c r="AC64" t="s">
        <v>74</v>
      </c>
      <c r="AD64" t="s">
        <v>74</v>
      </c>
      <c r="AE64" t="s">
        <v>74</v>
      </c>
      <c r="AF64" t="s">
        <v>74</v>
      </c>
      <c r="AG64">
        <v>73</v>
      </c>
      <c r="AH64">
        <v>18</v>
      </c>
      <c r="AI64">
        <v>22</v>
      </c>
      <c r="AJ64">
        <v>0</v>
      </c>
      <c r="AK64">
        <v>15</v>
      </c>
      <c r="AL64" t="s">
        <v>1225</v>
      </c>
      <c r="AM64" t="s">
        <v>1226</v>
      </c>
      <c r="AN64" t="s">
        <v>1227</v>
      </c>
      <c r="AO64" t="s">
        <v>1228</v>
      </c>
      <c r="AP64" t="s">
        <v>1229</v>
      </c>
      <c r="AQ64" t="s">
        <v>74</v>
      </c>
      <c r="AR64" t="s">
        <v>1230</v>
      </c>
      <c r="AS64" t="s">
        <v>1231</v>
      </c>
      <c r="AT64" t="s">
        <v>1184</v>
      </c>
      <c r="AU64">
        <v>2007</v>
      </c>
      <c r="AV64">
        <v>39</v>
      </c>
      <c r="AW64">
        <v>3</v>
      </c>
      <c r="AX64" t="s">
        <v>74</v>
      </c>
      <c r="AY64" t="s">
        <v>74</v>
      </c>
      <c r="AZ64" t="s">
        <v>74</v>
      </c>
      <c r="BA64" t="s">
        <v>74</v>
      </c>
      <c r="BB64">
        <v>375</v>
      </c>
      <c r="BC64">
        <v>387</v>
      </c>
      <c r="BD64" t="s">
        <v>74</v>
      </c>
      <c r="BE64" t="s">
        <v>1277</v>
      </c>
      <c r="BF64" t="str">
        <f>HYPERLINK("http://dx.doi.org/10.1657/1523-0430(06-027)[BOQUET]2.0.CO;2","http://dx.doi.org/10.1657/1523-0430(06-027)[BOQUET]2.0.CO;2")</f>
        <v>http://dx.doi.org/10.1657/1523-0430(06-027)[BOQUET]2.0.CO;2</v>
      </c>
      <c r="BG64" t="s">
        <v>74</v>
      </c>
      <c r="BH64" t="s">
        <v>74</v>
      </c>
      <c r="BI64">
        <v>13</v>
      </c>
      <c r="BJ64" t="s">
        <v>1233</v>
      </c>
      <c r="BK64" t="s">
        <v>98</v>
      </c>
      <c r="BL64" t="s">
        <v>1234</v>
      </c>
      <c r="BM64" t="s">
        <v>1235</v>
      </c>
      <c r="BN64" t="s">
        <v>74</v>
      </c>
      <c r="BO64" t="s">
        <v>1249</v>
      </c>
      <c r="BP64" t="s">
        <v>74</v>
      </c>
      <c r="BQ64" t="s">
        <v>74</v>
      </c>
      <c r="BR64" t="s">
        <v>101</v>
      </c>
      <c r="BS64" t="s">
        <v>1278</v>
      </c>
      <c r="BT64" t="str">
        <f>HYPERLINK("https%3A%2F%2Fwww.webofscience.com%2Fwos%2Fwoscc%2Ffull-record%2FWOS:000249936100004","View Full Record in Web of Science")</f>
        <v>View Full Record in Web of Science</v>
      </c>
    </row>
    <row r="65" spans="1:72" x14ac:dyDescent="0.15">
      <c r="A65" t="s">
        <v>72</v>
      </c>
      <c r="B65" t="s">
        <v>1279</v>
      </c>
      <c r="C65" t="s">
        <v>74</v>
      </c>
      <c r="D65" t="s">
        <v>74</v>
      </c>
      <c r="E65" t="s">
        <v>74</v>
      </c>
      <c r="F65" t="s">
        <v>1280</v>
      </c>
      <c r="G65" t="s">
        <v>74</v>
      </c>
      <c r="H65" t="s">
        <v>74</v>
      </c>
      <c r="I65" t="s">
        <v>1281</v>
      </c>
      <c r="J65" t="s">
        <v>1217</v>
      </c>
      <c r="K65" t="s">
        <v>74</v>
      </c>
      <c r="L65" t="s">
        <v>74</v>
      </c>
      <c r="M65" t="s">
        <v>78</v>
      </c>
      <c r="N65" t="s">
        <v>79</v>
      </c>
      <c r="O65" t="s">
        <v>74</v>
      </c>
      <c r="P65" t="s">
        <v>74</v>
      </c>
      <c r="Q65" t="s">
        <v>74</v>
      </c>
      <c r="R65" t="s">
        <v>74</v>
      </c>
      <c r="S65" t="s">
        <v>74</v>
      </c>
      <c r="T65" t="s">
        <v>74</v>
      </c>
      <c r="U65" t="s">
        <v>1282</v>
      </c>
      <c r="V65" t="s">
        <v>1283</v>
      </c>
      <c r="W65" t="s">
        <v>1284</v>
      </c>
      <c r="X65" t="s">
        <v>1285</v>
      </c>
      <c r="Y65" t="s">
        <v>1286</v>
      </c>
      <c r="Z65" t="s">
        <v>1287</v>
      </c>
      <c r="AA65" t="s">
        <v>74</v>
      </c>
      <c r="AB65" t="s">
        <v>74</v>
      </c>
      <c r="AC65" t="s">
        <v>74</v>
      </c>
      <c r="AD65" t="s">
        <v>74</v>
      </c>
      <c r="AE65" t="s">
        <v>74</v>
      </c>
      <c r="AF65" t="s">
        <v>74</v>
      </c>
      <c r="AG65">
        <v>31</v>
      </c>
      <c r="AH65">
        <v>31</v>
      </c>
      <c r="AI65">
        <v>40</v>
      </c>
      <c r="AJ65">
        <v>1</v>
      </c>
      <c r="AK65">
        <v>24</v>
      </c>
      <c r="AL65" t="s">
        <v>1225</v>
      </c>
      <c r="AM65" t="s">
        <v>1226</v>
      </c>
      <c r="AN65" t="s">
        <v>1227</v>
      </c>
      <c r="AO65" t="s">
        <v>1228</v>
      </c>
      <c r="AP65" t="s">
        <v>1229</v>
      </c>
      <c r="AQ65" t="s">
        <v>74</v>
      </c>
      <c r="AR65" t="s">
        <v>1230</v>
      </c>
      <c r="AS65" t="s">
        <v>1231</v>
      </c>
      <c r="AT65" t="s">
        <v>1184</v>
      </c>
      <c r="AU65">
        <v>2007</v>
      </c>
      <c r="AV65">
        <v>39</v>
      </c>
      <c r="AW65">
        <v>3</v>
      </c>
      <c r="AX65" t="s">
        <v>74</v>
      </c>
      <c r="AY65" t="s">
        <v>74</v>
      </c>
      <c r="AZ65" t="s">
        <v>74</v>
      </c>
      <c r="BA65" t="s">
        <v>74</v>
      </c>
      <c r="BB65">
        <v>388</v>
      </c>
      <c r="BC65">
        <v>401</v>
      </c>
      <c r="BD65" t="s">
        <v>74</v>
      </c>
      <c r="BE65" t="s">
        <v>1288</v>
      </c>
      <c r="BF65" t="str">
        <f>HYPERLINK("http://dx.doi.org/10.1657/1523-0430(06-026)[BROCK]2.0.CO;2","http://dx.doi.org/10.1657/1523-0430(06-026)[BROCK]2.0.CO;2")</f>
        <v>http://dx.doi.org/10.1657/1523-0430(06-026)[BROCK]2.0.CO;2</v>
      </c>
      <c r="BG65" t="s">
        <v>74</v>
      </c>
      <c r="BH65" t="s">
        <v>74</v>
      </c>
      <c r="BI65">
        <v>14</v>
      </c>
      <c r="BJ65" t="s">
        <v>1233</v>
      </c>
      <c r="BK65" t="s">
        <v>98</v>
      </c>
      <c r="BL65" t="s">
        <v>1234</v>
      </c>
      <c r="BM65" t="s">
        <v>1235</v>
      </c>
      <c r="BN65" t="s">
        <v>74</v>
      </c>
      <c r="BO65" t="s">
        <v>1289</v>
      </c>
      <c r="BP65" t="s">
        <v>74</v>
      </c>
      <c r="BQ65" t="s">
        <v>74</v>
      </c>
      <c r="BR65" t="s">
        <v>101</v>
      </c>
      <c r="BS65" t="s">
        <v>1290</v>
      </c>
      <c r="BT65" t="str">
        <f>HYPERLINK("https%3A%2F%2Fwww.webofscience.com%2Fwos%2Fwoscc%2Ffull-record%2FWOS:000249936100005","View Full Record in Web of Science")</f>
        <v>View Full Record in Web of Science</v>
      </c>
    </row>
    <row r="66" spans="1:72" x14ac:dyDescent="0.15">
      <c r="A66" t="s">
        <v>72</v>
      </c>
      <c r="B66" t="s">
        <v>1291</v>
      </c>
      <c r="C66" t="s">
        <v>74</v>
      </c>
      <c r="D66" t="s">
        <v>74</v>
      </c>
      <c r="E66" t="s">
        <v>74</v>
      </c>
      <c r="F66" t="s">
        <v>1292</v>
      </c>
      <c r="G66" t="s">
        <v>74</v>
      </c>
      <c r="H66" t="s">
        <v>74</v>
      </c>
      <c r="I66" t="s">
        <v>1293</v>
      </c>
      <c r="J66" t="s">
        <v>1217</v>
      </c>
      <c r="K66" t="s">
        <v>74</v>
      </c>
      <c r="L66" t="s">
        <v>74</v>
      </c>
      <c r="M66" t="s">
        <v>78</v>
      </c>
      <c r="N66" t="s">
        <v>79</v>
      </c>
      <c r="O66" t="s">
        <v>74</v>
      </c>
      <c r="P66" t="s">
        <v>74</v>
      </c>
      <c r="Q66" t="s">
        <v>74</v>
      </c>
      <c r="R66" t="s">
        <v>74</v>
      </c>
      <c r="S66" t="s">
        <v>74</v>
      </c>
      <c r="T66" t="s">
        <v>74</v>
      </c>
      <c r="U66" t="s">
        <v>74</v>
      </c>
      <c r="V66" t="s">
        <v>1294</v>
      </c>
      <c r="W66" t="s">
        <v>1295</v>
      </c>
      <c r="X66" t="s">
        <v>1296</v>
      </c>
      <c r="Y66" t="s">
        <v>1297</v>
      </c>
      <c r="Z66" t="s">
        <v>1298</v>
      </c>
      <c r="AA66" t="s">
        <v>1299</v>
      </c>
      <c r="AB66" t="s">
        <v>1300</v>
      </c>
      <c r="AC66" t="s">
        <v>74</v>
      </c>
      <c r="AD66" t="s">
        <v>74</v>
      </c>
      <c r="AE66" t="s">
        <v>74</v>
      </c>
      <c r="AF66" t="s">
        <v>74</v>
      </c>
      <c r="AG66">
        <v>26</v>
      </c>
      <c r="AH66">
        <v>27</v>
      </c>
      <c r="AI66">
        <v>33</v>
      </c>
      <c r="AJ66">
        <v>0</v>
      </c>
      <c r="AK66">
        <v>16</v>
      </c>
      <c r="AL66" t="s">
        <v>1225</v>
      </c>
      <c r="AM66" t="s">
        <v>1226</v>
      </c>
      <c r="AN66" t="s">
        <v>1227</v>
      </c>
      <c r="AO66" t="s">
        <v>1228</v>
      </c>
      <c r="AP66" t="s">
        <v>1229</v>
      </c>
      <c r="AQ66" t="s">
        <v>74</v>
      </c>
      <c r="AR66" t="s">
        <v>1230</v>
      </c>
      <c r="AS66" t="s">
        <v>1231</v>
      </c>
      <c r="AT66" t="s">
        <v>1184</v>
      </c>
      <c r="AU66">
        <v>2007</v>
      </c>
      <c r="AV66">
        <v>39</v>
      </c>
      <c r="AW66">
        <v>3</v>
      </c>
      <c r="AX66" t="s">
        <v>74</v>
      </c>
      <c r="AY66" t="s">
        <v>74</v>
      </c>
      <c r="AZ66" t="s">
        <v>74</v>
      </c>
      <c r="BA66" t="s">
        <v>74</v>
      </c>
      <c r="BB66">
        <v>402</v>
      </c>
      <c r="BC66">
        <v>411</v>
      </c>
      <c r="BD66" t="s">
        <v>74</v>
      </c>
      <c r="BE66" t="s">
        <v>1301</v>
      </c>
      <c r="BF66" t="str">
        <f>HYPERLINK("http://dx.doi.org/10.1657/1523-0430(05-123)[DOWDESWELL]2.0.CO;2","http://dx.doi.org/10.1657/1523-0430(05-123)[DOWDESWELL]2.0.CO;2")</f>
        <v>http://dx.doi.org/10.1657/1523-0430(05-123)[DOWDESWELL]2.0.CO;2</v>
      </c>
      <c r="BG66" t="s">
        <v>74</v>
      </c>
      <c r="BH66" t="s">
        <v>74</v>
      </c>
      <c r="BI66">
        <v>10</v>
      </c>
      <c r="BJ66" t="s">
        <v>1233</v>
      </c>
      <c r="BK66" t="s">
        <v>98</v>
      </c>
      <c r="BL66" t="s">
        <v>1234</v>
      </c>
      <c r="BM66" t="s">
        <v>1235</v>
      </c>
      <c r="BN66" t="s">
        <v>74</v>
      </c>
      <c r="BO66" t="s">
        <v>1249</v>
      </c>
      <c r="BP66" t="s">
        <v>74</v>
      </c>
      <c r="BQ66" t="s">
        <v>74</v>
      </c>
      <c r="BR66" t="s">
        <v>101</v>
      </c>
      <c r="BS66" t="s">
        <v>1302</v>
      </c>
      <c r="BT66" t="str">
        <f>HYPERLINK("https%3A%2F%2Fwww.webofscience.com%2Fwos%2Fwoscc%2Ffull-record%2FWOS:000249936100006","View Full Record in Web of Science")</f>
        <v>View Full Record in Web of Science</v>
      </c>
    </row>
    <row r="67" spans="1:72" x14ac:dyDescent="0.15">
      <c r="A67" t="s">
        <v>72</v>
      </c>
      <c r="B67" t="s">
        <v>1303</v>
      </c>
      <c r="C67" t="s">
        <v>74</v>
      </c>
      <c r="D67" t="s">
        <v>74</v>
      </c>
      <c r="E67" t="s">
        <v>74</v>
      </c>
      <c r="F67" t="s">
        <v>1304</v>
      </c>
      <c r="G67" t="s">
        <v>74</v>
      </c>
      <c r="H67" t="s">
        <v>74</v>
      </c>
      <c r="I67" t="s">
        <v>1305</v>
      </c>
      <c r="J67" t="s">
        <v>1217</v>
      </c>
      <c r="K67" t="s">
        <v>74</v>
      </c>
      <c r="L67" t="s">
        <v>74</v>
      </c>
      <c r="M67" t="s">
        <v>78</v>
      </c>
      <c r="N67" t="s">
        <v>79</v>
      </c>
      <c r="O67" t="s">
        <v>74</v>
      </c>
      <c r="P67" t="s">
        <v>74</v>
      </c>
      <c r="Q67" t="s">
        <v>74</v>
      </c>
      <c r="R67" t="s">
        <v>74</v>
      </c>
      <c r="S67" t="s">
        <v>74</v>
      </c>
      <c r="T67" t="s">
        <v>74</v>
      </c>
      <c r="U67" t="s">
        <v>1306</v>
      </c>
      <c r="V67" t="s">
        <v>1307</v>
      </c>
      <c r="W67" t="s">
        <v>1308</v>
      </c>
      <c r="X67" t="s">
        <v>1309</v>
      </c>
      <c r="Y67" t="s">
        <v>1310</v>
      </c>
      <c r="Z67" t="s">
        <v>1311</v>
      </c>
      <c r="AA67" t="s">
        <v>1312</v>
      </c>
      <c r="AB67" t="s">
        <v>1313</v>
      </c>
      <c r="AC67" t="s">
        <v>74</v>
      </c>
      <c r="AD67" t="s">
        <v>74</v>
      </c>
      <c r="AE67" t="s">
        <v>74</v>
      </c>
      <c r="AF67" t="s">
        <v>74</v>
      </c>
      <c r="AG67">
        <v>44</v>
      </c>
      <c r="AH67">
        <v>43</v>
      </c>
      <c r="AI67">
        <v>49</v>
      </c>
      <c r="AJ67">
        <v>0</v>
      </c>
      <c r="AK67">
        <v>55</v>
      </c>
      <c r="AL67" t="s">
        <v>1225</v>
      </c>
      <c r="AM67" t="s">
        <v>1226</v>
      </c>
      <c r="AN67" t="s">
        <v>1227</v>
      </c>
      <c r="AO67" t="s">
        <v>1228</v>
      </c>
      <c r="AP67" t="s">
        <v>1229</v>
      </c>
      <c r="AQ67" t="s">
        <v>74</v>
      </c>
      <c r="AR67" t="s">
        <v>1230</v>
      </c>
      <c r="AS67" t="s">
        <v>1231</v>
      </c>
      <c r="AT67" t="s">
        <v>1184</v>
      </c>
      <c r="AU67">
        <v>2007</v>
      </c>
      <c r="AV67">
        <v>39</v>
      </c>
      <c r="AW67">
        <v>3</v>
      </c>
      <c r="AX67" t="s">
        <v>74</v>
      </c>
      <c r="AY67" t="s">
        <v>74</v>
      </c>
      <c r="AZ67" t="s">
        <v>74</v>
      </c>
      <c r="BA67" t="s">
        <v>74</v>
      </c>
      <c r="BB67">
        <v>412</v>
      </c>
      <c r="BC67">
        <v>421</v>
      </c>
      <c r="BD67" t="s">
        <v>74</v>
      </c>
      <c r="BE67" t="s">
        <v>1314</v>
      </c>
      <c r="BF67" t="str">
        <f>HYPERLINK("http://dx.doi.org/10.1657/1523-0430(06-018)[HOYE]2.0.CO;2","http://dx.doi.org/10.1657/1523-0430(06-018)[HOYE]2.0.CO;2")</f>
        <v>http://dx.doi.org/10.1657/1523-0430(06-018)[HOYE]2.0.CO;2</v>
      </c>
      <c r="BG67" t="s">
        <v>74</v>
      </c>
      <c r="BH67" t="s">
        <v>74</v>
      </c>
      <c r="BI67">
        <v>10</v>
      </c>
      <c r="BJ67" t="s">
        <v>1233</v>
      </c>
      <c r="BK67" t="s">
        <v>98</v>
      </c>
      <c r="BL67" t="s">
        <v>1234</v>
      </c>
      <c r="BM67" t="s">
        <v>1235</v>
      </c>
      <c r="BN67" t="s">
        <v>74</v>
      </c>
      <c r="BO67" t="s">
        <v>74</v>
      </c>
      <c r="BP67" t="s">
        <v>74</v>
      </c>
      <c r="BQ67" t="s">
        <v>74</v>
      </c>
      <c r="BR67" t="s">
        <v>101</v>
      </c>
      <c r="BS67" t="s">
        <v>1315</v>
      </c>
      <c r="BT67" t="str">
        <f>HYPERLINK("https%3A%2F%2Fwww.webofscience.com%2Fwos%2Fwoscc%2Ffull-record%2FWOS:000249936100007","View Full Record in Web of Science")</f>
        <v>View Full Record in Web of Science</v>
      </c>
    </row>
    <row r="68" spans="1:72" x14ac:dyDescent="0.15">
      <c r="A68" t="s">
        <v>72</v>
      </c>
      <c r="B68" t="s">
        <v>1316</v>
      </c>
      <c r="C68" t="s">
        <v>74</v>
      </c>
      <c r="D68" t="s">
        <v>74</v>
      </c>
      <c r="E68" t="s">
        <v>74</v>
      </c>
      <c r="F68" t="s">
        <v>1317</v>
      </c>
      <c r="G68" t="s">
        <v>74</v>
      </c>
      <c r="H68" t="s">
        <v>74</v>
      </c>
      <c r="I68" t="s">
        <v>1318</v>
      </c>
      <c r="J68" t="s">
        <v>1217</v>
      </c>
      <c r="K68" t="s">
        <v>74</v>
      </c>
      <c r="L68" t="s">
        <v>74</v>
      </c>
      <c r="M68" t="s">
        <v>78</v>
      </c>
      <c r="N68" t="s">
        <v>79</v>
      </c>
      <c r="O68" t="s">
        <v>74</v>
      </c>
      <c r="P68" t="s">
        <v>74</v>
      </c>
      <c r="Q68" t="s">
        <v>74</v>
      </c>
      <c r="R68" t="s">
        <v>74</v>
      </c>
      <c r="S68" t="s">
        <v>74</v>
      </c>
      <c r="T68" t="s">
        <v>74</v>
      </c>
      <c r="U68" t="s">
        <v>1319</v>
      </c>
      <c r="V68" t="s">
        <v>1320</v>
      </c>
      <c r="W68" t="s">
        <v>1321</v>
      </c>
      <c r="X68" t="s">
        <v>1322</v>
      </c>
      <c r="Y68" t="s">
        <v>1323</v>
      </c>
      <c r="Z68" t="s">
        <v>1324</v>
      </c>
      <c r="AA68" t="s">
        <v>1325</v>
      </c>
      <c r="AB68" t="s">
        <v>1326</v>
      </c>
      <c r="AC68" t="s">
        <v>74</v>
      </c>
      <c r="AD68" t="s">
        <v>74</v>
      </c>
      <c r="AE68" t="s">
        <v>74</v>
      </c>
      <c r="AF68" t="s">
        <v>74</v>
      </c>
      <c r="AG68">
        <v>49</v>
      </c>
      <c r="AH68">
        <v>28</v>
      </c>
      <c r="AI68">
        <v>28</v>
      </c>
      <c r="AJ68">
        <v>0</v>
      </c>
      <c r="AK68">
        <v>20</v>
      </c>
      <c r="AL68" t="s">
        <v>1225</v>
      </c>
      <c r="AM68" t="s">
        <v>1226</v>
      </c>
      <c r="AN68" t="s">
        <v>1227</v>
      </c>
      <c r="AO68" t="s">
        <v>1228</v>
      </c>
      <c r="AP68" t="s">
        <v>1229</v>
      </c>
      <c r="AQ68" t="s">
        <v>74</v>
      </c>
      <c r="AR68" t="s">
        <v>1230</v>
      </c>
      <c r="AS68" t="s">
        <v>1231</v>
      </c>
      <c r="AT68" t="s">
        <v>1184</v>
      </c>
      <c r="AU68">
        <v>2007</v>
      </c>
      <c r="AV68">
        <v>39</v>
      </c>
      <c r="AW68">
        <v>3</v>
      </c>
      <c r="AX68" t="s">
        <v>74</v>
      </c>
      <c r="AY68" t="s">
        <v>74</v>
      </c>
      <c r="AZ68" t="s">
        <v>74</v>
      </c>
      <c r="BA68" t="s">
        <v>74</v>
      </c>
      <c r="BB68">
        <v>422</v>
      </c>
      <c r="BC68">
        <v>431</v>
      </c>
      <c r="BD68" t="s">
        <v>74</v>
      </c>
      <c r="BE68" t="s">
        <v>1327</v>
      </c>
      <c r="BF68" t="str">
        <f>HYPERLINK("http://dx.doi.org/10.1657/1523-0430(06-036)[HUSS]2.0.CO;2","http://dx.doi.org/10.1657/1523-0430(06-036)[HUSS]2.0.CO;2")</f>
        <v>http://dx.doi.org/10.1657/1523-0430(06-036)[HUSS]2.0.CO;2</v>
      </c>
      <c r="BG68" t="s">
        <v>74</v>
      </c>
      <c r="BH68" t="s">
        <v>74</v>
      </c>
      <c r="BI68">
        <v>10</v>
      </c>
      <c r="BJ68" t="s">
        <v>1233</v>
      </c>
      <c r="BK68" t="s">
        <v>98</v>
      </c>
      <c r="BL68" t="s">
        <v>1234</v>
      </c>
      <c r="BM68" t="s">
        <v>1235</v>
      </c>
      <c r="BN68" t="s">
        <v>74</v>
      </c>
      <c r="BO68" t="s">
        <v>1249</v>
      </c>
      <c r="BP68" t="s">
        <v>74</v>
      </c>
      <c r="BQ68" t="s">
        <v>74</v>
      </c>
      <c r="BR68" t="s">
        <v>101</v>
      </c>
      <c r="BS68" t="s">
        <v>1328</v>
      </c>
      <c r="BT68" t="str">
        <f>HYPERLINK("https%3A%2F%2Fwww.webofscience.com%2Fwos%2Fwoscc%2Ffull-record%2FWOS:000249936100008","View Full Record in Web of Science")</f>
        <v>View Full Record in Web of Science</v>
      </c>
    </row>
    <row r="69" spans="1:72" x14ac:dyDescent="0.15">
      <c r="A69" t="s">
        <v>72</v>
      </c>
      <c r="B69" t="s">
        <v>1329</v>
      </c>
      <c r="C69" t="s">
        <v>74</v>
      </c>
      <c r="D69" t="s">
        <v>74</v>
      </c>
      <c r="E69" t="s">
        <v>74</v>
      </c>
      <c r="F69" t="s">
        <v>1330</v>
      </c>
      <c r="G69" t="s">
        <v>74</v>
      </c>
      <c r="H69" t="s">
        <v>74</v>
      </c>
      <c r="I69" t="s">
        <v>1331</v>
      </c>
      <c r="J69" t="s">
        <v>1217</v>
      </c>
      <c r="K69" t="s">
        <v>74</v>
      </c>
      <c r="L69" t="s">
        <v>74</v>
      </c>
      <c r="M69" t="s">
        <v>78</v>
      </c>
      <c r="N69" t="s">
        <v>79</v>
      </c>
      <c r="O69" t="s">
        <v>74</v>
      </c>
      <c r="P69" t="s">
        <v>74</v>
      </c>
      <c r="Q69" t="s">
        <v>74</v>
      </c>
      <c r="R69" t="s">
        <v>74</v>
      </c>
      <c r="S69" t="s">
        <v>74</v>
      </c>
      <c r="T69" t="s">
        <v>74</v>
      </c>
      <c r="U69" t="s">
        <v>1332</v>
      </c>
      <c r="V69" t="s">
        <v>1333</v>
      </c>
      <c r="W69" t="s">
        <v>1334</v>
      </c>
      <c r="X69" t="s">
        <v>1335</v>
      </c>
      <c r="Y69" t="s">
        <v>1336</v>
      </c>
      <c r="Z69" t="s">
        <v>1337</v>
      </c>
      <c r="AA69" t="s">
        <v>1338</v>
      </c>
      <c r="AB69" t="s">
        <v>1339</v>
      </c>
      <c r="AC69" t="s">
        <v>74</v>
      </c>
      <c r="AD69" t="s">
        <v>74</v>
      </c>
      <c r="AE69" t="s">
        <v>74</v>
      </c>
      <c r="AF69" t="s">
        <v>74</v>
      </c>
      <c r="AG69">
        <v>31</v>
      </c>
      <c r="AH69">
        <v>18</v>
      </c>
      <c r="AI69">
        <v>19</v>
      </c>
      <c r="AJ69">
        <v>1</v>
      </c>
      <c r="AK69">
        <v>10</v>
      </c>
      <c r="AL69" t="s">
        <v>1225</v>
      </c>
      <c r="AM69" t="s">
        <v>1226</v>
      </c>
      <c r="AN69" t="s">
        <v>1227</v>
      </c>
      <c r="AO69" t="s">
        <v>1228</v>
      </c>
      <c r="AP69" t="s">
        <v>1229</v>
      </c>
      <c r="AQ69" t="s">
        <v>74</v>
      </c>
      <c r="AR69" t="s">
        <v>1230</v>
      </c>
      <c r="AS69" t="s">
        <v>1231</v>
      </c>
      <c r="AT69" t="s">
        <v>1184</v>
      </c>
      <c r="AU69">
        <v>2007</v>
      </c>
      <c r="AV69">
        <v>39</v>
      </c>
      <c r="AW69">
        <v>3</v>
      </c>
      <c r="AX69" t="s">
        <v>74</v>
      </c>
      <c r="AY69" t="s">
        <v>74</v>
      </c>
      <c r="AZ69" t="s">
        <v>74</v>
      </c>
      <c r="BA69" t="s">
        <v>74</v>
      </c>
      <c r="BB69">
        <v>432</v>
      </c>
      <c r="BC69">
        <v>437</v>
      </c>
      <c r="BD69" t="s">
        <v>74</v>
      </c>
      <c r="BE69" t="s">
        <v>1340</v>
      </c>
      <c r="BF69" t="str">
        <f>HYPERLINK("http://dx.doi.org/10.1657/1523-0430(06-041)[JANSSON]2.0.CO;2","http://dx.doi.org/10.1657/1523-0430(06-041)[JANSSON]2.0.CO;2")</f>
        <v>http://dx.doi.org/10.1657/1523-0430(06-041)[JANSSON]2.0.CO;2</v>
      </c>
      <c r="BG69" t="s">
        <v>74</v>
      </c>
      <c r="BH69" t="s">
        <v>74</v>
      </c>
      <c r="BI69">
        <v>6</v>
      </c>
      <c r="BJ69" t="s">
        <v>1233</v>
      </c>
      <c r="BK69" t="s">
        <v>98</v>
      </c>
      <c r="BL69" t="s">
        <v>1234</v>
      </c>
      <c r="BM69" t="s">
        <v>1235</v>
      </c>
      <c r="BN69" t="s">
        <v>74</v>
      </c>
      <c r="BO69" t="s">
        <v>1249</v>
      </c>
      <c r="BP69" t="s">
        <v>74</v>
      </c>
      <c r="BQ69" t="s">
        <v>74</v>
      </c>
      <c r="BR69" t="s">
        <v>101</v>
      </c>
      <c r="BS69" t="s">
        <v>1341</v>
      </c>
      <c r="BT69" t="str">
        <f>HYPERLINK("https%3A%2F%2Fwww.webofscience.com%2Fwos%2Fwoscc%2Ffull-record%2FWOS:000249936100009","View Full Record in Web of Science")</f>
        <v>View Full Record in Web of Science</v>
      </c>
    </row>
    <row r="70" spans="1:72" x14ac:dyDescent="0.15">
      <c r="A70" t="s">
        <v>72</v>
      </c>
      <c r="B70" t="s">
        <v>1342</v>
      </c>
      <c r="C70" t="s">
        <v>74</v>
      </c>
      <c r="D70" t="s">
        <v>74</v>
      </c>
      <c r="E70" t="s">
        <v>74</v>
      </c>
      <c r="F70" t="s">
        <v>1343</v>
      </c>
      <c r="G70" t="s">
        <v>74</v>
      </c>
      <c r="H70" t="s">
        <v>74</v>
      </c>
      <c r="I70" t="s">
        <v>1344</v>
      </c>
      <c r="J70" t="s">
        <v>1217</v>
      </c>
      <c r="K70" t="s">
        <v>74</v>
      </c>
      <c r="L70" t="s">
        <v>74</v>
      </c>
      <c r="M70" t="s">
        <v>78</v>
      </c>
      <c r="N70" t="s">
        <v>79</v>
      </c>
      <c r="O70" t="s">
        <v>74</v>
      </c>
      <c r="P70" t="s">
        <v>74</v>
      </c>
      <c r="Q70" t="s">
        <v>74</v>
      </c>
      <c r="R70" t="s">
        <v>74</v>
      </c>
      <c r="S70" t="s">
        <v>74</v>
      </c>
      <c r="T70" t="s">
        <v>74</v>
      </c>
      <c r="U70" t="s">
        <v>1345</v>
      </c>
      <c r="V70" t="s">
        <v>1346</v>
      </c>
      <c r="W70" t="s">
        <v>1347</v>
      </c>
      <c r="X70" t="s">
        <v>1348</v>
      </c>
      <c r="Y70" t="s">
        <v>1349</v>
      </c>
      <c r="Z70" t="s">
        <v>1350</v>
      </c>
      <c r="AA70" t="s">
        <v>1351</v>
      </c>
      <c r="AB70" t="s">
        <v>1352</v>
      </c>
      <c r="AC70" t="s">
        <v>74</v>
      </c>
      <c r="AD70" t="s">
        <v>74</v>
      </c>
      <c r="AE70" t="s">
        <v>74</v>
      </c>
      <c r="AF70" t="s">
        <v>74</v>
      </c>
      <c r="AG70">
        <v>42</v>
      </c>
      <c r="AH70">
        <v>31</v>
      </c>
      <c r="AI70">
        <v>42</v>
      </c>
      <c r="AJ70">
        <v>4</v>
      </c>
      <c r="AK70">
        <v>60</v>
      </c>
      <c r="AL70" t="s">
        <v>1262</v>
      </c>
      <c r="AM70" t="s">
        <v>1263</v>
      </c>
      <c r="AN70" t="s">
        <v>1264</v>
      </c>
      <c r="AO70" t="s">
        <v>1228</v>
      </c>
      <c r="AP70" t="s">
        <v>1229</v>
      </c>
      <c r="AQ70" t="s">
        <v>74</v>
      </c>
      <c r="AR70" t="s">
        <v>1230</v>
      </c>
      <c r="AS70" t="s">
        <v>1231</v>
      </c>
      <c r="AT70" t="s">
        <v>1184</v>
      </c>
      <c r="AU70">
        <v>2007</v>
      </c>
      <c r="AV70">
        <v>39</v>
      </c>
      <c r="AW70">
        <v>3</v>
      </c>
      <c r="AX70" t="s">
        <v>74</v>
      </c>
      <c r="AY70" t="s">
        <v>74</v>
      </c>
      <c r="AZ70" t="s">
        <v>74</v>
      </c>
      <c r="BA70" t="s">
        <v>74</v>
      </c>
      <c r="BB70">
        <v>438</v>
      </c>
      <c r="BC70">
        <v>448</v>
      </c>
      <c r="BD70" t="s">
        <v>74</v>
      </c>
      <c r="BE70" t="s">
        <v>1353</v>
      </c>
      <c r="BF70" t="str">
        <f>HYPERLINK("http://dx.doi.org/10.1657/1523-0430(06-020)[KOCH]2.0.CO;2","http://dx.doi.org/10.1657/1523-0430(06-020)[KOCH]2.0.CO;2")</f>
        <v>http://dx.doi.org/10.1657/1523-0430(06-020)[KOCH]2.0.CO;2</v>
      </c>
      <c r="BG70" t="s">
        <v>74</v>
      </c>
      <c r="BH70" t="s">
        <v>74</v>
      </c>
      <c r="BI70">
        <v>11</v>
      </c>
      <c r="BJ70" t="s">
        <v>1233</v>
      </c>
      <c r="BK70" t="s">
        <v>98</v>
      </c>
      <c r="BL70" t="s">
        <v>1234</v>
      </c>
      <c r="BM70" t="s">
        <v>1235</v>
      </c>
      <c r="BN70" t="s">
        <v>74</v>
      </c>
      <c r="BO70" t="s">
        <v>1249</v>
      </c>
      <c r="BP70" t="s">
        <v>74</v>
      </c>
      <c r="BQ70" t="s">
        <v>74</v>
      </c>
      <c r="BR70" t="s">
        <v>101</v>
      </c>
      <c r="BS70" t="s">
        <v>1354</v>
      </c>
      <c r="BT70" t="str">
        <f>HYPERLINK("https%3A%2F%2Fwww.webofscience.com%2Fwos%2Fwoscc%2Ffull-record%2FWOS:000249936100010","View Full Record in Web of Science")</f>
        <v>View Full Record in Web of Science</v>
      </c>
    </row>
    <row r="71" spans="1:72" x14ac:dyDescent="0.15">
      <c r="A71" t="s">
        <v>72</v>
      </c>
      <c r="B71" t="s">
        <v>1355</v>
      </c>
      <c r="C71" t="s">
        <v>74</v>
      </c>
      <c r="D71" t="s">
        <v>74</v>
      </c>
      <c r="E71" t="s">
        <v>74</v>
      </c>
      <c r="F71" t="s">
        <v>1356</v>
      </c>
      <c r="G71" t="s">
        <v>74</v>
      </c>
      <c r="H71" t="s">
        <v>74</v>
      </c>
      <c r="I71" t="s">
        <v>1357</v>
      </c>
      <c r="J71" t="s">
        <v>1217</v>
      </c>
      <c r="K71" t="s">
        <v>74</v>
      </c>
      <c r="L71" t="s">
        <v>74</v>
      </c>
      <c r="M71" t="s">
        <v>78</v>
      </c>
      <c r="N71" t="s">
        <v>79</v>
      </c>
      <c r="O71" t="s">
        <v>74</v>
      </c>
      <c r="P71" t="s">
        <v>74</v>
      </c>
      <c r="Q71" t="s">
        <v>74</v>
      </c>
      <c r="R71" t="s">
        <v>74</v>
      </c>
      <c r="S71" t="s">
        <v>74</v>
      </c>
      <c r="T71" t="s">
        <v>74</v>
      </c>
      <c r="U71" t="s">
        <v>1358</v>
      </c>
      <c r="V71" t="s">
        <v>1359</v>
      </c>
      <c r="W71" t="s">
        <v>1360</v>
      </c>
      <c r="X71" t="s">
        <v>1361</v>
      </c>
      <c r="Y71" t="s">
        <v>1362</v>
      </c>
      <c r="Z71" t="s">
        <v>1363</v>
      </c>
      <c r="AA71" t="s">
        <v>74</v>
      </c>
      <c r="AB71" t="s">
        <v>74</v>
      </c>
      <c r="AC71" t="s">
        <v>74</v>
      </c>
      <c r="AD71" t="s">
        <v>74</v>
      </c>
      <c r="AE71" t="s">
        <v>74</v>
      </c>
      <c r="AF71" t="s">
        <v>74</v>
      </c>
      <c r="AG71">
        <v>38</v>
      </c>
      <c r="AH71">
        <v>22</v>
      </c>
      <c r="AI71">
        <v>24</v>
      </c>
      <c r="AJ71">
        <v>2</v>
      </c>
      <c r="AK71">
        <v>27</v>
      </c>
      <c r="AL71" t="s">
        <v>1225</v>
      </c>
      <c r="AM71" t="s">
        <v>1226</v>
      </c>
      <c r="AN71" t="s">
        <v>1227</v>
      </c>
      <c r="AO71" t="s">
        <v>1228</v>
      </c>
      <c r="AP71" t="s">
        <v>1229</v>
      </c>
      <c r="AQ71" t="s">
        <v>74</v>
      </c>
      <c r="AR71" t="s">
        <v>1230</v>
      </c>
      <c r="AS71" t="s">
        <v>1231</v>
      </c>
      <c r="AT71" t="s">
        <v>1184</v>
      </c>
      <c r="AU71">
        <v>2007</v>
      </c>
      <c r="AV71">
        <v>39</v>
      </c>
      <c r="AW71">
        <v>3</v>
      </c>
      <c r="AX71" t="s">
        <v>74</v>
      </c>
      <c r="AY71" t="s">
        <v>74</v>
      </c>
      <c r="AZ71" t="s">
        <v>74</v>
      </c>
      <c r="BA71" t="s">
        <v>74</v>
      </c>
      <c r="BB71">
        <v>449</v>
      </c>
      <c r="BC71">
        <v>454</v>
      </c>
      <c r="BD71" t="s">
        <v>74</v>
      </c>
      <c r="BE71" t="s">
        <v>1364</v>
      </c>
      <c r="BF71" t="str">
        <f>HYPERLINK("http://dx.doi.org/10.1657/1523-0430(06-024)[LINDGREN]2.0.CO;2","http://dx.doi.org/10.1657/1523-0430(06-024)[LINDGREN]2.0.CO;2")</f>
        <v>http://dx.doi.org/10.1657/1523-0430(06-024)[LINDGREN]2.0.CO;2</v>
      </c>
      <c r="BG71" t="s">
        <v>74</v>
      </c>
      <c r="BH71" t="s">
        <v>74</v>
      </c>
      <c r="BI71">
        <v>6</v>
      </c>
      <c r="BJ71" t="s">
        <v>1233</v>
      </c>
      <c r="BK71" t="s">
        <v>98</v>
      </c>
      <c r="BL71" t="s">
        <v>1234</v>
      </c>
      <c r="BM71" t="s">
        <v>1235</v>
      </c>
      <c r="BN71" t="s">
        <v>74</v>
      </c>
      <c r="BO71" t="s">
        <v>1249</v>
      </c>
      <c r="BP71" t="s">
        <v>74</v>
      </c>
      <c r="BQ71" t="s">
        <v>74</v>
      </c>
      <c r="BR71" t="s">
        <v>101</v>
      </c>
      <c r="BS71" t="s">
        <v>1365</v>
      </c>
      <c r="BT71" t="str">
        <f>HYPERLINK("https%3A%2F%2Fwww.webofscience.com%2Fwos%2Fwoscc%2Ffull-record%2FWOS:000249936100011","View Full Record in Web of Science")</f>
        <v>View Full Record in Web of Science</v>
      </c>
    </row>
    <row r="72" spans="1:72" x14ac:dyDescent="0.15">
      <c r="A72" t="s">
        <v>72</v>
      </c>
      <c r="B72" t="s">
        <v>1366</v>
      </c>
      <c r="C72" t="s">
        <v>74</v>
      </c>
      <c r="D72" t="s">
        <v>74</v>
      </c>
      <c r="E72" t="s">
        <v>74</v>
      </c>
      <c r="F72" t="s">
        <v>1367</v>
      </c>
      <c r="G72" t="s">
        <v>74</v>
      </c>
      <c r="H72" t="s">
        <v>74</v>
      </c>
      <c r="I72" t="s">
        <v>1368</v>
      </c>
      <c r="J72" t="s">
        <v>1217</v>
      </c>
      <c r="K72" t="s">
        <v>74</v>
      </c>
      <c r="L72" t="s">
        <v>74</v>
      </c>
      <c r="M72" t="s">
        <v>78</v>
      </c>
      <c r="N72" t="s">
        <v>79</v>
      </c>
      <c r="O72" t="s">
        <v>74</v>
      </c>
      <c r="P72" t="s">
        <v>74</v>
      </c>
      <c r="Q72" t="s">
        <v>74</v>
      </c>
      <c r="R72" t="s">
        <v>74</v>
      </c>
      <c r="S72" t="s">
        <v>74</v>
      </c>
      <c r="T72" t="s">
        <v>74</v>
      </c>
      <c r="U72" t="s">
        <v>1369</v>
      </c>
      <c r="V72" t="s">
        <v>1370</v>
      </c>
      <c r="W72" t="s">
        <v>1371</v>
      </c>
      <c r="X72" t="s">
        <v>1372</v>
      </c>
      <c r="Y72" t="s">
        <v>1373</v>
      </c>
      <c r="Z72" t="s">
        <v>1374</v>
      </c>
      <c r="AA72" t="s">
        <v>74</v>
      </c>
      <c r="AB72" t="s">
        <v>74</v>
      </c>
      <c r="AC72" t="s">
        <v>74</v>
      </c>
      <c r="AD72" t="s">
        <v>74</v>
      </c>
      <c r="AE72" t="s">
        <v>74</v>
      </c>
      <c r="AF72" t="s">
        <v>74</v>
      </c>
      <c r="AG72">
        <v>38</v>
      </c>
      <c r="AH72">
        <v>42</v>
      </c>
      <c r="AI72">
        <v>49</v>
      </c>
      <c r="AJ72">
        <v>0</v>
      </c>
      <c r="AK72">
        <v>19</v>
      </c>
      <c r="AL72" t="s">
        <v>1225</v>
      </c>
      <c r="AM72" t="s">
        <v>1226</v>
      </c>
      <c r="AN72" t="s">
        <v>1227</v>
      </c>
      <c r="AO72" t="s">
        <v>1228</v>
      </c>
      <c r="AP72" t="s">
        <v>1229</v>
      </c>
      <c r="AQ72" t="s">
        <v>74</v>
      </c>
      <c r="AR72" t="s">
        <v>1230</v>
      </c>
      <c r="AS72" t="s">
        <v>1231</v>
      </c>
      <c r="AT72" t="s">
        <v>1184</v>
      </c>
      <c r="AU72">
        <v>2007</v>
      </c>
      <c r="AV72">
        <v>39</v>
      </c>
      <c r="AW72">
        <v>3</v>
      </c>
      <c r="AX72" t="s">
        <v>74</v>
      </c>
      <c r="AY72" t="s">
        <v>74</v>
      </c>
      <c r="AZ72" t="s">
        <v>74</v>
      </c>
      <c r="BA72" t="s">
        <v>74</v>
      </c>
      <c r="BB72">
        <v>455</v>
      </c>
      <c r="BC72">
        <v>467</v>
      </c>
      <c r="BD72" t="s">
        <v>74</v>
      </c>
      <c r="BE72" t="s">
        <v>1375</v>
      </c>
      <c r="BF72" t="str">
        <f>HYPERLINK("http://dx.doi.org/10.1657/1523-0430(06-022)[MORAN]2.0.CO;2","http://dx.doi.org/10.1657/1523-0430(06-022)[MORAN]2.0.CO;2")</f>
        <v>http://dx.doi.org/10.1657/1523-0430(06-022)[MORAN]2.0.CO;2</v>
      </c>
      <c r="BG72" t="s">
        <v>74</v>
      </c>
      <c r="BH72" t="s">
        <v>74</v>
      </c>
      <c r="BI72">
        <v>13</v>
      </c>
      <c r="BJ72" t="s">
        <v>1233</v>
      </c>
      <c r="BK72" t="s">
        <v>98</v>
      </c>
      <c r="BL72" t="s">
        <v>1234</v>
      </c>
      <c r="BM72" t="s">
        <v>1235</v>
      </c>
      <c r="BN72" t="s">
        <v>74</v>
      </c>
      <c r="BO72" t="s">
        <v>1249</v>
      </c>
      <c r="BP72" t="s">
        <v>74</v>
      </c>
      <c r="BQ72" t="s">
        <v>74</v>
      </c>
      <c r="BR72" t="s">
        <v>101</v>
      </c>
      <c r="BS72" t="s">
        <v>1376</v>
      </c>
      <c r="BT72" t="str">
        <f>HYPERLINK("https%3A%2F%2Fwww.webofscience.com%2Fwos%2Fwoscc%2Ffull-record%2FWOS:000249936100012","View Full Record in Web of Science")</f>
        <v>View Full Record in Web of Science</v>
      </c>
    </row>
    <row r="73" spans="1:72" x14ac:dyDescent="0.15">
      <c r="A73" t="s">
        <v>72</v>
      </c>
      <c r="B73" t="s">
        <v>1377</v>
      </c>
      <c r="C73" t="s">
        <v>74</v>
      </c>
      <c r="D73" t="s">
        <v>74</v>
      </c>
      <c r="E73" t="s">
        <v>74</v>
      </c>
      <c r="F73" t="s">
        <v>1378</v>
      </c>
      <c r="G73" t="s">
        <v>74</v>
      </c>
      <c r="H73" t="s">
        <v>74</v>
      </c>
      <c r="I73" t="s">
        <v>1379</v>
      </c>
      <c r="J73" t="s">
        <v>1217</v>
      </c>
      <c r="K73" t="s">
        <v>74</v>
      </c>
      <c r="L73" t="s">
        <v>74</v>
      </c>
      <c r="M73" t="s">
        <v>78</v>
      </c>
      <c r="N73" t="s">
        <v>79</v>
      </c>
      <c r="O73" t="s">
        <v>74</v>
      </c>
      <c r="P73" t="s">
        <v>74</v>
      </c>
      <c r="Q73" t="s">
        <v>74</v>
      </c>
      <c r="R73" t="s">
        <v>74</v>
      </c>
      <c r="S73" t="s">
        <v>74</v>
      </c>
      <c r="T73" t="s">
        <v>74</v>
      </c>
      <c r="U73" t="s">
        <v>74</v>
      </c>
      <c r="V73" t="s">
        <v>1380</v>
      </c>
      <c r="W73" t="s">
        <v>1381</v>
      </c>
      <c r="X73" t="s">
        <v>1382</v>
      </c>
      <c r="Y73" t="s">
        <v>1383</v>
      </c>
      <c r="Z73" t="s">
        <v>1384</v>
      </c>
      <c r="AA73" t="s">
        <v>74</v>
      </c>
      <c r="AB73" t="s">
        <v>74</v>
      </c>
      <c r="AC73" t="s">
        <v>74</v>
      </c>
      <c r="AD73" t="s">
        <v>74</v>
      </c>
      <c r="AE73" t="s">
        <v>74</v>
      </c>
      <c r="AF73" t="s">
        <v>74</v>
      </c>
      <c r="AG73">
        <v>42</v>
      </c>
      <c r="AH73">
        <v>40</v>
      </c>
      <c r="AI73">
        <v>51</v>
      </c>
      <c r="AJ73">
        <v>0</v>
      </c>
      <c r="AK73">
        <v>18</v>
      </c>
      <c r="AL73" t="s">
        <v>1262</v>
      </c>
      <c r="AM73" t="s">
        <v>1263</v>
      </c>
      <c r="AN73" t="s">
        <v>1264</v>
      </c>
      <c r="AO73" t="s">
        <v>1228</v>
      </c>
      <c r="AP73" t="s">
        <v>1229</v>
      </c>
      <c r="AQ73" t="s">
        <v>74</v>
      </c>
      <c r="AR73" t="s">
        <v>1230</v>
      </c>
      <c r="AS73" t="s">
        <v>1231</v>
      </c>
      <c r="AT73" t="s">
        <v>1184</v>
      </c>
      <c r="AU73">
        <v>2007</v>
      </c>
      <c r="AV73">
        <v>39</v>
      </c>
      <c r="AW73">
        <v>3</v>
      </c>
      <c r="AX73" t="s">
        <v>74</v>
      </c>
      <c r="AY73" t="s">
        <v>74</v>
      </c>
      <c r="AZ73" t="s">
        <v>74</v>
      </c>
      <c r="BA73" t="s">
        <v>74</v>
      </c>
      <c r="BB73">
        <v>468</v>
      </c>
      <c r="BC73">
        <v>476</v>
      </c>
      <c r="BD73" t="s">
        <v>74</v>
      </c>
      <c r="BE73" t="s">
        <v>1385</v>
      </c>
      <c r="BF73" t="str">
        <f>HYPERLINK("http://dx.doi.org/10.1657/1523-0430(05-045)[PULLMAN]2.0.CO;2","http://dx.doi.org/10.1657/1523-0430(05-045)[PULLMAN]2.0.CO;2")</f>
        <v>http://dx.doi.org/10.1657/1523-0430(05-045)[PULLMAN]2.0.CO;2</v>
      </c>
      <c r="BG73" t="s">
        <v>74</v>
      </c>
      <c r="BH73" t="s">
        <v>74</v>
      </c>
      <c r="BI73">
        <v>9</v>
      </c>
      <c r="BJ73" t="s">
        <v>1233</v>
      </c>
      <c r="BK73" t="s">
        <v>98</v>
      </c>
      <c r="BL73" t="s">
        <v>1234</v>
      </c>
      <c r="BM73" t="s">
        <v>1235</v>
      </c>
      <c r="BN73" t="s">
        <v>74</v>
      </c>
      <c r="BO73" t="s">
        <v>74</v>
      </c>
      <c r="BP73" t="s">
        <v>74</v>
      </c>
      <c r="BQ73" t="s">
        <v>74</v>
      </c>
      <c r="BR73" t="s">
        <v>101</v>
      </c>
      <c r="BS73" t="s">
        <v>1386</v>
      </c>
      <c r="BT73" t="str">
        <f>HYPERLINK("https%3A%2F%2Fwww.webofscience.com%2Fwos%2Fwoscc%2Ffull-record%2FWOS:000249936100013","View Full Record in Web of Science")</f>
        <v>View Full Record in Web of Science</v>
      </c>
    </row>
    <row r="74" spans="1:72" x14ac:dyDescent="0.15">
      <c r="A74" t="s">
        <v>72</v>
      </c>
      <c r="B74" t="s">
        <v>1387</v>
      </c>
      <c r="C74" t="s">
        <v>74</v>
      </c>
      <c r="D74" t="s">
        <v>74</v>
      </c>
      <c r="E74" t="s">
        <v>74</v>
      </c>
      <c r="F74" t="s">
        <v>1388</v>
      </c>
      <c r="G74" t="s">
        <v>74</v>
      </c>
      <c r="H74" t="s">
        <v>74</v>
      </c>
      <c r="I74" t="s">
        <v>1389</v>
      </c>
      <c r="J74" t="s">
        <v>1217</v>
      </c>
      <c r="K74" t="s">
        <v>74</v>
      </c>
      <c r="L74" t="s">
        <v>74</v>
      </c>
      <c r="M74" t="s">
        <v>78</v>
      </c>
      <c r="N74" t="s">
        <v>79</v>
      </c>
      <c r="O74" t="s">
        <v>74</v>
      </c>
      <c r="P74" t="s">
        <v>74</v>
      </c>
      <c r="Q74" t="s">
        <v>74</v>
      </c>
      <c r="R74" t="s">
        <v>74</v>
      </c>
      <c r="S74" t="s">
        <v>74</v>
      </c>
      <c r="T74" t="s">
        <v>74</v>
      </c>
      <c r="U74" t="s">
        <v>1390</v>
      </c>
      <c r="V74" t="s">
        <v>1391</v>
      </c>
      <c r="W74" t="s">
        <v>1392</v>
      </c>
      <c r="X74" t="s">
        <v>1393</v>
      </c>
      <c r="Y74" t="s">
        <v>1394</v>
      </c>
      <c r="Z74" t="s">
        <v>1395</v>
      </c>
      <c r="AA74" t="s">
        <v>1396</v>
      </c>
      <c r="AB74" t="s">
        <v>1397</v>
      </c>
      <c r="AC74" t="s">
        <v>74</v>
      </c>
      <c r="AD74" t="s">
        <v>74</v>
      </c>
      <c r="AE74" t="s">
        <v>74</v>
      </c>
      <c r="AF74" t="s">
        <v>74</v>
      </c>
      <c r="AG74">
        <v>26</v>
      </c>
      <c r="AH74">
        <v>7</v>
      </c>
      <c r="AI74">
        <v>11</v>
      </c>
      <c r="AJ74">
        <v>2</v>
      </c>
      <c r="AK74">
        <v>29</v>
      </c>
      <c r="AL74" t="s">
        <v>1262</v>
      </c>
      <c r="AM74" t="s">
        <v>1263</v>
      </c>
      <c r="AN74" t="s">
        <v>1264</v>
      </c>
      <c r="AO74" t="s">
        <v>1228</v>
      </c>
      <c r="AP74" t="s">
        <v>74</v>
      </c>
      <c r="AQ74" t="s">
        <v>74</v>
      </c>
      <c r="AR74" t="s">
        <v>1230</v>
      </c>
      <c r="AS74" t="s">
        <v>1231</v>
      </c>
      <c r="AT74" t="s">
        <v>1184</v>
      </c>
      <c r="AU74">
        <v>2007</v>
      </c>
      <c r="AV74">
        <v>39</v>
      </c>
      <c r="AW74">
        <v>3</v>
      </c>
      <c r="AX74" t="s">
        <v>74</v>
      </c>
      <c r="AY74" t="s">
        <v>74</v>
      </c>
      <c r="AZ74" t="s">
        <v>74</v>
      </c>
      <c r="BA74" t="s">
        <v>74</v>
      </c>
      <c r="BB74">
        <v>477</v>
      </c>
      <c r="BC74">
        <v>480</v>
      </c>
      <c r="BD74" t="s">
        <v>74</v>
      </c>
      <c r="BE74" t="s">
        <v>1398</v>
      </c>
      <c r="BF74" t="str">
        <f>HYPERLINK("http://dx.doi.org/10.1657/1523-0430(06-009)","http://dx.doi.org/10.1657/1523-0430(06-009)")</f>
        <v>http://dx.doi.org/10.1657/1523-0430(06-009)</v>
      </c>
      <c r="BG74" t="s">
        <v>74</v>
      </c>
      <c r="BH74" t="s">
        <v>74</v>
      </c>
      <c r="BI74">
        <v>4</v>
      </c>
      <c r="BJ74" t="s">
        <v>1233</v>
      </c>
      <c r="BK74" t="s">
        <v>98</v>
      </c>
      <c r="BL74" t="s">
        <v>1234</v>
      </c>
      <c r="BM74" t="s">
        <v>1235</v>
      </c>
      <c r="BN74" t="s">
        <v>74</v>
      </c>
      <c r="BO74" t="s">
        <v>74</v>
      </c>
      <c r="BP74" t="s">
        <v>74</v>
      </c>
      <c r="BQ74" t="s">
        <v>74</v>
      </c>
      <c r="BR74" t="s">
        <v>101</v>
      </c>
      <c r="BS74" t="s">
        <v>1399</v>
      </c>
      <c r="BT74" t="str">
        <f>HYPERLINK("https%3A%2F%2Fwww.webofscience.com%2Fwos%2Fwoscc%2Ffull-record%2FWOS:000249936100014","View Full Record in Web of Science")</f>
        <v>View Full Record in Web of Science</v>
      </c>
    </row>
    <row r="75" spans="1:72" x14ac:dyDescent="0.15">
      <c r="A75" t="s">
        <v>72</v>
      </c>
      <c r="B75" t="s">
        <v>1400</v>
      </c>
      <c r="C75" t="s">
        <v>74</v>
      </c>
      <c r="D75" t="s">
        <v>74</v>
      </c>
      <c r="E75" t="s">
        <v>74</v>
      </c>
      <c r="F75" t="s">
        <v>1401</v>
      </c>
      <c r="G75" t="s">
        <v>74</v>
      </c>
      <c r="H75" t="s">
        <v>74</v>
      </c>
      <c r="I75" t="s">
        <v>1402</v>
      </c>
      <c r="J75" t="s">
        <v>1217</v>
      </c>
      <c r="K75" t="s">
        <v>74</v>
      </c>
      <c r="L75" t="s">
        <v>74</v>
      </c>
      <c r="M75" t="s">
        <v>78</v>
      </c>
      <c r="N75" t="s">
        <v>79</v>
      </c>
      <c r="O75" t="s">
        <v>74</v>
      </c>
      <c r="P75" t="s">
        <v>74</v>
      </c>
      <c r="Q75" t="s">
        <v>74</v>
      </c>
      <c r="R75" t="s">
        <v>74</v>
      </c>
      <c r="S75" t="s">
        <v>74</v>
      </c>
      <c r="T75" t="s">
        <v>74</v>
      </c>
      <c r="U75" t="s">
        <v>1403</v>
      </c>
      <c r="V75" t="s">
        <v>1404</v>
      </c>
      <c r="W75" t="s">
        <v>1405</v>
      </c>
      <c r="X75" t="s">
        <v>1406</v>
      </c>
      <c r="Y75" t="s">
        <v>1407</v>
      </c>
      <c r="Z75" t="s">
        <v>1408</v>
      </c>
      <c r="AA75" t="s">
        <v>74</v>
      </c>
      <c r="AB75" t="s">
        <v>74</v>
      </c>
      <c r="AC75" t="s">
        <v>74</v>
      </c>
      <c r="AD75" t="s">
        <v>74</v>
      </c>
      <c r="AE75" t="s">
        <v>74</v>
      </c>
      <c r="AF75" t="s">
        <v>74</v>
      </c>
      <c r="AG75">
        <v>49</v>
      </c>
      <c r="AH75">
        <v>4</v>
      </c>
      <c r="AI75">
        <v>6</v>
      </c>
      <c r="AJ75">
        <v>0</v>
      </c>
      <c r="AK75">
        <v>13</v>
      </c>
      <c r="AL75" t="s">
        <v>1225</v>
      </c>
      <c r="AM75" t="s">
        <v>1226</v>
      </c>
      <c r="AN75" t="s">
        <v>1227</v>
      </c>
      <c r="AO75" t="s">
        <v>1228</v>
      </c>
      <c r="AP75" t="s">
        <v>1229</v>
      </c>
      <c r="AQ75" t="s">
        <v>74</v>
      </c>
      <c r="AR75" t="s">
        <v>1230</v>
      </c>
      <c r="AS75" t="s">
        <v>1231</v>
      </c>
      <c r="AT75" t="s">
        <v>1184</v>
      </c>
      <c r="AU75">
        <v>2007</v>
      </c>
      <c r="AV75">
        <v>39</v>
      </c>
      <c r="AW75">
        <v>3</v>
      </c>
      <c r="AX75" t="s">
        <v>74</v>
      </c>
      <c r="AY75" t="s">
        <v>74</v>
      </c>
      <c r="AZ75" t="s">
        <v>74</v>
      </c>
      <c r="BA75" t="s">
        <v>74</v>
      </c>
      <c r="BB75">
        <v>481</v>
      </c>
      <c r="BC75">
        <v>487</v>
      </c>
      <c r="BD75" t="s">
        <v>74</v>
      </c>
      <c r="BE75" t="s">
        <v>1409</v>
      </c>
      <c r="BF75" t="str">
        <f>HYPERLINK("http://dx.doi.org/10.1657/1523-0430(06-008)[TANG]2.0.CO;2","http://dx.doi.org/10.1657/1523-0430(06-008)[TANG]2.0.CO;2")</f>
        <v>http://dx.doi.org/10.1657/1523-0430(06-008)[TANG]2.0.CO;2</v>
      </c>
      <c r="BG75" t="s">
        <v>74</v>
      </c>
      <c r="BH75" t="s">
        <v>74</v>
      </c>
      <c r="BI75">
        <v>7</v>
      </c>
      <c r="BJ75" t="s">
        <v>1233</v>
      </c>
      <c r="BK75" t="s">
        <v>98</v>
      </c>
      <c r="BL75" t="s">
        <v>1234</v>
      </c>
      <c r="BM75" t="s">
        <v>1235</v>
      </c>
      <c r="BN75" t="s">
        <v>74</v>
      </c>
      <c r="BO75" t="s">
        <v>1249</v>
      </c>
      <c r="BP75" t="s">
        <v>74</v>
      </c>
      <c r="BQ75" t="s">
        <v>74</v>
      </c>
      <c r="BR75" t="s">
        <v>101</v>
      </c>
      <c r="BS75" t="s">
        <v>1410</v>
      </c>
      <c r="BT75" t="str">
        <f>HYPERLINK("https%3A%2F%2Fwww.webofscience.com%2Fwos%2Fwoscc%2Ffull-record%2FWOS:000249936100015","View Full Record in Web of Science")</f>
        <v>View Full Record in Web of Science</v>
      </c>
    </row>
    <row r="76" spans="1:72" x14ac:dyDescent="0.15">
      <c r="A76" t="s">
        <v>72</v>
      </c>
      <c r="B76" t="s">
        <v>1411</v>
      </c>
      <c r="C76" t="s">
        <v>74</v>
      </c>
      <c r="D76" t="s">
        <v>74</v>
      </c>
      <c r="E76" t="s">
        <v>74</v>
      </c>
      <c r="F76" t="s">
        <v>1412</v>
      </c>
      <c r="G76" t="s">
        <v>74</v>
      </c>
      <c r="H76" t="s">
        <v>74</v>
      </c>
      <c r="I76" t="s">
        <v>1413</v>
      </c>
      <c r="J76" t="s">
        <v>1217</v>
      </c>
      <c r="K76" t="s">
        <v>74</v>
      </c>
      <c r="L76" t="s">
        <v>74</v>
      </c>
      <c r="M76" t="s">
        <v>78</v>
      </c>
      <c r="N76" t="s">
        <v>79</v>
      </c>
      <c r="O76" t="s">
        <v>74</v>
      </c>
      <c r="P76" t="s">
        <v>74</v>
      </c>
      <c r="Q76" t="s">
        <v>74</v>
      </c>
      <c r="R76" t="s">
        <v>74</v>
      </c>
      <c r="S76" t="s">
        <v>74</v>
      </c>
      <c r="T76" t="s">
        <v>74</v>
      </c>
      <c r="U76" t="s">
        <v>1414</v>
      </c>
      <c r="V76" t="s">
        <v>1415</v>
      </c>
      <c r="W76" t="s">
        <v>1416</v>
      </c>
      <c r="X76" t="s">
        <v>1417</v>
      </c>
      <c r="Y76" t="s">
        <v>1418</v>
      </c>
      <c r="Z76" t="s">
        <v>1419</v>
      </c>
      <c r="AA76" t="s">
        <v>1420</v>
      </c>
      <c r="AB76" t="s">
        <v>1421</v>
      </c>
      <c r="AC76" t="s">
        <v>74</v>
      </c>
      <c r="AD76" t="s">
        <v>74</v>
      </c>
      <c r="AE76" t="s">
        <v>74</v>
      </c>
      <c r="AF76" t="s">
        <v>74</v>
      </c>
      <c r="AG76">
        <v>52</v>
      </c>
      <c r="AH76">
        <v>24</v>
      </c>
      <c r="AI76">
        <v>26</v>
      </c>
      <c r="AJ76">
        <v>1</v>
      </c>
      <c r="AK76">
        <v>24</v>
      </c>
      <c r="AL76" t="s">
        <v>1225</v>
      </c>
      <c r="AM76" t="s">
        <v>1226</v>
      </c>
      <c r="AN76" t="s">
        <v>1227</v>
      </c>
      <c r="AO76" t="s">
        <v>1228</v>
      </c>
      <c r="AP76" t="s">
        <v>1229</v>
      </c>
      <c r="AQ76" t="s">
        <v>74</v>
      </c>
      <c r="AR76" t="s">
        <v>1230</v>
      </c>
      <c r="AS76" t="s">
        <v>1231</v>
      </c>
      <c r="AT76" t="s">
        <v>1184</v>
      </c>
      <c r="AU76">
        <v>2007</v>
      </c>
      <c r="AV76">
        <v>39</v>
      </c>
      <c r="AW76">
        <v>3</v>
      </c>
      <c r="AX76" t="s">
        <v>74</v>
      </c>
      <c r="AY76" t="s">
        <v>74</v>
      </c>
      <c r="AZ76" t="s">
        <v>74</v>
      </c>
      <c r="BA76" t="s">
        <v>74</v>
      </c>
      <c r="BB76">
        <v>488</v>
      </c>
      <c r="BC76">
        <v>499</v>
      </c>
      <c r="BD76" t="s">
        <v>74</v>
      </c>
      <c r="BE76" t="s">
        <v>1422</v>
      </c>
      <c r="BF76" t="str">
        <f>HYPERLINK("http://dx.doi.org/10.1657/1523-0430(06-006)[TRIVEDI]2.0.CO;2","http://dx.doi.org/10.1657/1523-0430(06-006)[TRIVEDI]2.0.CO;2")</f>
        <v>http://dx.doi.org/10.1657/1523-0430(06-006)[TRIVEDI]2.0.CO;2</v>
      </c>
      <c r="BG76" t="s">
        <v>74</v>
      </c>
      <c r="BH76" t="s">
        <v>74</v>
      </c>
      <c r="BI76">
        <v>12</v>
      </c>
      <c r="BJ76" t="s">
        <v>1233</v>
      </c>
      <c r="BK76" t="s">
        <v>98</v>
      </c>
      <c r="BL76" t="s">
        <v>1234</v>
      </c>
      <c r="BM76" t="s">
        <v>1235</v>
      </c>
      <c r="BN76" t="s">
        <v>74</v>
      </c>
      <c r="BO76" t="s">
        <v>797</v>
      </c>
      <c r="BP76" t="s">
        <v>74</v>
      </c>
      <c r="BQ76" t="s">
        <v>74</v>
      </c>
      <c r="BR76" t="s">
        <v>101</v>
      </c>
      <c r="BS76" t="s">
        <v>1423</v>
      </c>
      <c r="BT76" t="str">
        <f>HYPERLINK("https%3A%2F%2Fwww.webofscience.com%2Fwos%2Fwoscc%2Ffull-record%2FWOS:000249936100016","View Full Record in Web of Science")</f>
        <v>View Full Record in Web of Science</v>
      </c>
    </row>
    <row r="77" spans="1:72" x14ac:dyDescent="0.15">
      <c r="A77" t="s">
        <v>72</v>
      </c>
      <c r="B77" t="s">
        <v>1424</v>
      </c>
      <c r="C77" t="s">
        <v>74</v>
      </c>
      <c r="D77" t="s">
        <v>74</v>
      </c>
      <c r="E77" t="s">
        <v>74</v>
      </c>
      <c r="F77" t="s">
        <v>1425</v>
      </c>
      <c r="G77" t="s">
        <v>74</v>
      </c>
      <c r="H77" t="s">
        <v>74</v>
      </c>
      <c r="I77" t="s">
        <v>1426</v>
      </c>
      <c r="J77" t="s">
        <v>1217</v>
      </c>
      <c r="K77" t="s">
        <v>74</v>
      </c>
      <c r="L77" t="s">
        <v>74</v>
      </c>
      <c r="M77" t="s">
        <v>78</v>
      </c>
      <c r="N77" t="s">
        <v>79</v>
      </c>
      <c r="O77" t="s">
        <v>74</v>
      </c>
      <c r="P77" t="s">
        <v>74</v>
      </c>
      <c r="Q77" t="s">
        <v>74</v>
      </c>
      <c r="R77" t="s">
        <v>74</v>
      </c>
      <c r="S77" t="s">
        <v>74</v>
      </c>
      <c r="T77" t="s">
        <v>74</v>
      </c>
      <c r="U77" t="s">
        <v>1427</v>
      </c>
      <c r="V77" t="s">
        <v>1428</v>
      </c>
      <c r="W77" t="s">
        <v>1429</v>
      </c>
      <c r="X77" t="s">
        <v>1430</v>
      </c>
      <c r="Y77" t="s">
        <v>1431</v>
      </c>
      <c r="Z77" t="s">
        <v>1432</v>
      </c>
      <c r="AA77" t="s">
        <v>1433</v>
      </c>
      <c r="AB77" t="s">
        <v>1434</v>
      </c>
      <c r="AC77" t="s">
        <v>74</v>
      </c>
      <c r="AD77" t="s">
        <v>74</v>
      </c>
      <c r="AE77" t="s">
        <v>74</v>
      </c>
      <c r="AF77" t="s">
        <v>74</v>
      </c>
      <c r="AG77">
        <v>42</v>
      </c>
      <c r="AH77">
        <v>16</v>
      </c>
      <c r="AI77">
        <v>17</v>
      </c>
      <c r="AJ77">
        <v>0</v>
      </c>
      <c r="AK77">
        <v>18</v>
      </c>
      <c r="AL77" t="s">
        <v>1225</v>
      </c>
      <c r="AM77" t="s">
        <v>1226</v>
      </c>
      <c r="AN77" t="s">
        <v>1227</v>
      </c>
      <c r="AO77" t="s">
        <v>1228</v>
      </c>
      <c r="AP77" t="s">
        <v>1229</v>
      </c>
      <c r="AQ77" t="s">
        <v>74</v>
      </c>
      <c r="AR77" t="s">
        <v>1230</v>
      </c>
      <c r="AS77" t="s">
        <v>1231</v>
      </c>
      <c r="AT77" t="s">
        <v>1184</v>
      </c>
      <c r="AU77">
        <v>2007</v>
      </c>
      <c r="AV77">
        <v>39</v>
      </c>
      <c r="AW77">
        <v>3</v>
      </c>
      <c r="AX77" t="s">
        <v>74</v>
      </c>
      <c r="AY77" t="s">
        <v>74</v>
      </c>
      <c r="AZ77" t="s">
        <v>74</v>
      </c>
      <c r="BA77" t="s">
        <v>74</v>
      </c>
      <c r="BB77">
        <v>500</v>
      </c>
      <c r="BC77">
        <v>511</v>
      </c>
      <c r="BD77" t="s">
        <v>74</v>
      </c>
      <c r="BE77" t="s">
        <v>1435</v>
      </c>
      <c r="BF77" t="str">
        <f>HYPERLINK("http://dx.doi.org/10.1657/1523-0430(06-040)[YELOFF]2.0.CO;2","http://dx.doi.org/10.1657/1523-0430(06-040)[YELOFF]2.0.CO;2")</f>
        <v>http://dx.doi.org/10.1657/1523-0430(06-040)[YELOFF]2.0.CO;2</v>
      </c>
      <c r="BG77" t="s">
        <v>74</v>
      </c>
      <c r="BH77" t="s">
        <v>74</v>
      </c>
      <c r="BI77">
        <v>12</v>
      </c>
      <c r="BJ77" t="s">
        <v>1233</v>
      </c>
      <c r="BK77" t="s">
        <v>98</v>
      </c>
      <c r="BL77" t="s">
        <v>1234</v>
      </c>
      <c r="BM77" t="s">
        <v>1235</v>
      </c>
      <c r="BN77" t="s">
        <v>74</v>
      </c>
      <c r="BO77" t="s">
        <v>1249</v>
      </c>
      <c r="BP77" t="s">
        <v>74</v>
      </c>
      <c r="BQ77" t="s">
        <v>74</v>
      </c>
      <c r="BR77" t="s">
        <v>101</v>
      </c>
      <c r="BS77" t="s">
        <v>1436</v>
      </c>
      <c r="BT77" t="str">
        <f>HYPERLINK("https%3A%2F%2Fwww.webofscience.com%2Fwos%2Fwoscc%2Ffull-record%2FWOS:000249936100017","View Full Record in Web of Science")</f>
        <v>View Full Record in Web of Science</v>
      </c>
    </row>
    <row r="78" spans="1:72" x14ac:dyDescent="0.15">
      <c r="A78" t="s">
        <v>72</v>
      </c>
      <c r="B78" t="s">
        <v>1437</v>
      </c>
      <c r="C78" t="s">
        <v>74</v>
      </c>
      <c r="D78" t="s">
        <v>74</v>
      </c>
      <c r="E78" t="s">
        <v>74</v>
      </c>
      <c r="F78" t="s">
        <v>1438</v>
      </c>
      <c r="G78" t="s">
        <v>74</v>
      </c>
      <c r="H78" t="s">
        <v>74</v>
      </c>
      <c r="I78" t="s">
        <v>1439</v>
      </c>
      <c r="J78" t="s">
        <v>1217</v>
      </c>
      <c r="K78" t="s">
        <v>74</v>
      </c>
      <c r="L78" t="s">
        <v>74</v>
      </c>
      <c r="M78" t="s">
        <v>78</v>
      </c>
      <c r="N78" t="s">
        <v>1440</v>
      </c>
      <c r="O78" t="s">
        <v>74</v>
      </c>
      <c r="P78" t="s">
        <v>74</v>
      </c>
      <c r="Q78" t="s">
        <v>74</v>
      </c>
      <c r="R78" t="s">
        <v>74</v>
      </c>
      <c r="S78" t="s">
        <v>74</v>
      </c>
      <c r="T78" t="s">
        <v>74</v>
      </c>
      <c r="U78" t="s">
        <v>74</v>
      </c>
      <c r="V78" t="s">
        <v>74</v>
      </c>
      <c r="W78" t="s">
        <v>1441</v>
      </c>
      <c r="X78" t="s">
        <v>1442</v>
      </c>
      <c r="Y78" t="s">
        <v>1443</v>
      </c>
      <c r="Z78" t="s">
        <v>1444</v>
      </c>
      <c r="AA78" t="s">
        <v>74</v>
      </c>
      <c r="AB78" t="s">
        <v>74</v>
      </c>
      <c r="AC78" t="s">
        <v>74</v>
      </c>
      <c r="AD78" t="s">
        <v>74</v>
      </c>
      <c r="AE78" t="s">
        <v>74</v>
      </c>
      <c r="AF78" t="s">
        <v>74</v>
      </c>
      <c r="AG78">
        <v>0</v>
      </c>
      <c r="AH78">
        <v>1</v>
      </c>
      <c r="AI78">
        <v>1</v>
      </c>
      <c r="AJ78">
        <v>0</v>
      </c>
      <c r="AK78">
        <v>1</v>
      </c>
      <c r="AL78" t="s">
        <v>1225</v>
      </c>
      <c r="AM78" t="s">
        <v>1226</v>
      </c>
      <c r="AN78" t="s">
        <v>1227</v>
      </c>
      <c r="AO78" t="s">
        <v>1228</v>
      </c>
      <c r="AP78" t="s">
        <v>1229</v>
      </c>
      <c r="AQ78" t="s">
        <v>74</v>
      </c>
      <c r="AR78" t="s">
        <v>1230</v>
      </c>
      <c r="AS78" t="s">
        <v>1231</v>
      </c>
      <c r="AT78" t="s">
        <v>1184</v>
      </c>
      <c r="AU78">
        <v>2007</v>
      </c>
      <c r="AV78">
        <v>39</v>
      </c>
      <c r="AW78">
        <v>3</v>
      </c>
      <c r="AX78" t="s">
        <v>74</v>
      </c>
      <c r="AY78" t="s">
        <v>74</v>
      </c>
      <c r="AZ78" t="s">
        <v>74</v>
      </c>
      <c r="BA78" t="s">
        <v>74</v>
      </c>
      <c r="BB78">
        <v>512</v>
      </c>
      <c r="BC78">
        <v>513</v>
      </c>
      <c r="BD78" t="s">
        <v>74</v>
      </c>
      <c r="BE78" t="s">
        <v>1445</v>
      </c>
      <c r="BF78" t="str">
        <f>HYPERLINK("http://dx.doi.org/10.1657/1523-0430(2007)[MEA]2.0.CO;2","http://dx.doi.org/10.1657/1523-0430(2007)[MEA]2.0.CO;2")</f>
        <v>http://dx.doi.org/10.1657/1523-0430(2007)[MEA]2.0.CO;2</v>
      </c>
      <c r="BG78" t="s">
        <v>74</v>
      </c>
      <c r="BH78" t="s">
        <v>74</v>
      </c>
      <c r="BI78">
        <v>2</v>
      </c>
      <c r="BJ78" t="s">
        <v>1233</v>
      </c>
      <c r="BK78" t="s">
        <v>98</v>
      </c>
      <c r="BL78" t="s">
        <v>1234</v>
      </c>
      <c r="BM78" t="s">
        <v>1235</v>
      </c>
      <c r="BN78" t="s">
        <v>74</v>
      </c>
      <c r="BO78" t="s">
        <v>74</v>
      </c>
      <c r="BP78" t="s">
        <v>74</v>
      </c>
      <c r="BQ78" t="s">
        <v>74</v>
      </c>
      <c r="BR78" t="s">
        <v>101</v>
      </c>
      <c r="BS78" t="s">
        <v>1446</v>
      </c>
      <c r="BT78" t="str">
        <f>HYPERLINK("https%3A%2F%2Fwww.webofscience.com%2Fwos%2Fwoscc%2Ffull-record%2FWOS:000249936100018","View Full Record in Web of Science")</f>
        <v>View Full Record in Web of Science</v>
      </c>
    </row>
    <row r="79" spans="1:72" x14ac:dyDescent="0.15">
      <c r="A79" t="s">
        <v>72</v>
      </c>
      <c r="B79" t="s">
        <v>1447</v>
      </c>
      <c r="C79" t="s">
        <v>74</v>
      </c>
      <c r="D79" t="s">
        <v>74</v>
      </c>
      <c r="E79" t="s">
        <v>74</v>
      </c>
      <c r="F79" t="s">
        <v>1448</v>
      </c>
      <c r="G79" t="s">
        <v>74</v>
      </c>
      <c r="H79" t="s">
        <v>74</v>
      </c>
      <c r="I79" t="s">
        <v>1449</v>
      </c>
      <c r="J79" t="s">
        <v>1450</v>
      </c>
      <c r="K79" t="s">
        <v>74</v>
      </c>
      <c r="L79" t="s">
        <v>74</v>
      </c>
      <c r="M79" t="s">
        <v>78</v>
      </c>
      <c r="N79" t="s">
        <v>79</v>
      </c>
      <c r="O79" t="s">
        <v>74</v>
      </c>
      <c r="P79" t="s">
        <v>74</v>
      </c>
      <c r="Q79" t="s">
        <v>74</v>
      </c>
      <c r="R79" t="s">
        <v>74</v>
      </c>
      <c r="S79" t="s">
        <v>74</v>
      </c>
      <c r="T79" t="s">
        <v>74</v>
      </c>
      <c r="U79" t="s">
        <v>1451</v>
      </c>
      <c r="V79" t="s">
        <v>1452</v>
      </c>
      <c r="W79" t="s">
        <v>1453</v>
      </c>
      <c r="X79" t="s">
        <v>1454</v>
      </c>
      <c r="Y79" t="s">
        <v>1455</v>
      </c>
      <c r="Z79" t="s">
        <v>1456</v>
      </c>
      <c r="AA79" t="s">
        <v>1457</v>
      </c>
      <c r="AB79" t="s">
        <v>1458</v>
      </c>
      <c r="AC79" t="s">
        <v>74</v>
      </c>
      <c r="AD79" t="s">
        <v>74</v>
      </c>
      <c r="AE79" t="s">
        <v>74</v>
      </c>
      <c r="AF79" t="s">
        <v>74</v>
      </c>
      <c r="AG79">
        <v>32</v>
      </c>
      <c r="AH79">
        <v>114</v>
      </c>
      <c r="AI79">
        <v>119</v>
      </c>
      <c r="AJ79">
        <v>1</v>
      </c>
      <c r="AK79">
        <v>43</v>
      </c>
      <c r="AL79" t="s">
        <v>1459</v>
      </c>
      <c r="AM79" t="s">
        <v>1460</v>
      </c>
      <c r="AN79" t="s">
        <v>1461</v>
      </c>
      <c r="AO79" t="s">
        <v>1462</v>
      </c>
      <c r="AP79" t="s">
        <v>1463</v>
      </c>
      <c r="AQ79" t="s">
        <v>74</v>
      </c>
      <c r="AR79" t="s">
        <v>1450</v>
      </c>
      <c r="AS79" t="s">
        <v>1464</v>
      </c>
      <c r="AT79" t="s">
        <v>1184</v>
      </c>
      <c r="AU79">
        <v>2007</v>
      </c>
      <c r="AV79">
        <v>7</v>
      </c>
      <c r="AW79">
        <v>4</v>
      </c>
      <c r="AX79" t="s">
        <v>74</v>
      </c>
      <c r="AY79" t="s">
        <v>74</v>
      </c>
      <c r="AZ79" t="s">
        <v>74</v>
      </c>
      <c r="BA79" t="s">
        <v>74</v>
      </c>
      <c r="BB79">
        <v>631</v>
      </c>
      <c r="BC79">
        <v>643</v>
      </c>
      <c r="BD79" t="s">
        <v>74</v>
      </c>
      <c r="BE79" t="s">
        <v>1465</v>
      </c>
      <c r="BF79" t="str">
        <f>HYPERLINK("http://dx.doi.org/10.1089/ast.2006.0097","http://dx.doi.org/10.1089/ast.2006.0097")</f>
        <v>http://dx.doi.org/10.1089/ast.2006.0097</v>
      </c>
      <c r="BG79" t="s">
        <v>74</v>
      </c>
      <c r="BH79" t="s">
        <v>74</v>
      </c>
      <c r="BI79">
        <v>13</v>
      </c>
      <c r="BJ79" t="s">
        <v>1466</v>
      </c>
      <c r="BK79" t="s">
        <v>98</v>
      </c>
      <c r="BL79" t="s">
        <v>1467</v>
      </c>
      <c r="BM79" t="s">
        <v>1468</v>
      </c>
      <c r="BN79">
        <v>17723094</v>
      </c>
      <c r="BO79" t="s">
        <v>1249</v>
      </c>
      <c r="BP79" t="s">
        <v>74</v>
      </c>
      <c r="BQ79" t="s">
        <v>74</v>
      </c>
      <c r="BR79" t="s">
        <v>101</v>
      </c>
      <c r="BS79" t="s">
        <v>1469</v>
      </c>
      <c r="BT79" t="str">
        <f>HYPERLINK("https%3A%2F%2Fwww.webofscience.com%2Fwos%2Fwoscc%2Ffull-record%2FWOS:000249144300005","View Full Record in Web of Science")</f>
        <v>View Full Record in Web of Science</v>
      </c>
    </row>
    <row r="80" spans="1:72" x14ac:dyDescent="0.15">
      <c r="A80" t="s">
        <v>72</v>
      </c>
      <c r="B80" t="s">
        <v>1470</v>
      </c>
      <c r="C80" t="s">
        <v>74</v>
      </c>
      <c r="D80" t="s">
        <v>74</v>
      </c>
      <c r="E80" t="s">
        <v>74</v>
      </c>
      <c r="F80" t="s">
        <v>1471</v>
      </c>
      <c r="G80" t="s">
        <v>74</v>
      </c>
      <c r="H80" t="s">
        <v>74</v>
      </c>
      <c r="I80" t="s">
        <v>1472</v>
      </c>
      <c r="J80" t="s">
        <v>1473</v>
      </c>
      <c r="K80" t="s">
        <v>74</v>
      </c>
      <c r="L80" t="s">
        <v>74</v>
      </c>
      <c r="M80" t="s">
        <v>78</v>
      </c>
      <c r="N80" t="s">
        <v>79</v>
      </c>
      <c r="O80" t="s">
        <v>74</v>
      </c>
      <c r="P80" t="s">
        <v>74</v>
      </c>
      <c r="Q80" t="s">
        <v>74</v>
      </c>
      <c r="R80" t="s">
        <v>74</v>
      </c>
      <c r="S80" t="s">
        <v>74</v>
      </c>
      <c r="T80" t="s">
        <v>1474</v>
      </c>
      <c r="U80" t="s">
        <v>1475</v>
      </c>
      <c r="V80" t="s">
        <v>1476</v>
      </c>
      <c r="W80" t="s">
        <v>1477</v>
      </c>
      <c r="X80" t="s">
        <v>1478</v>
      </c>
      <c r="Y80" t="s">
        <v>1479</v>
      </c>
      <c r="Z80" t="s">
        <v>1480</v>
      </c>
      <c r="AA80" t="s">
        <v>1481</v>
      </c>
      <c r="AB80" t="s">
        <v>1482</v>
      </c>
      <c r="AC80" t="s">
        <v>74</v>
      </c>
      <c r="AD80" t="s">
        <v>74</v>
      </c>
      <c r="AE80" t="s">
        <v>74</v>
      </c>
      <c r="AF80" t="s">
        <v>74</v>
      </c>
      <c r="AG80">
        <v>40</v>
      </c>
      <c r="AH80">
        <v>10</v>
      </c>
      <c r="AI80">
        <v>11</v>
      </c>
      <c r="AJ80">
        <v>0</v>
      </c>
      <c r="AK80">
        <v>1</v>
      </c>
      <c r="AL80" t="s">
        <v>1483</v>
      </c>
      <c r="AM80" t="s">
        <v>1484</v>
      </c>
      <c r="AN80" t="s">
        <v>1485</v>
      </c>
      <c r="AO80" t="s">
        <v>1486</v>
      </c>
      <c r="AP80" t="s">
        <v>1487</v>
      </c>
      <c r="AQ80" t="s">
        <v>74</v>
      </c>
      <c r="AR80" t="s">
        <v>1488</v>
      </c>
      <c r="AS80" t="s">
        <v>1489</v>
      </c>
      <c r="AT80" t="s">
        <v>1184</v>
      </c>
      <c r="AU80">
        <v>2007</v>
      </c>
      <c r="AV80">
        <v>171</v>
      </c>
      <c r="AW80">
        <v>2</v>
      </c>
      <c r="AX80" t="s">
        <v>74</v>
      </c>
      <c r="AY80" t="s">
        <v>74</v>
      </c>
      <c r="AZ80" t="s">
        <v>74</v>
      </c>
      <c r="BA80" t="s">
        <v>74</v>
      </c>
      <c r="BB80">
        <v>478</v>
      </c>
      <c r="BC80">
        <v>492</v>
      </c>
      <c r="BD80" t="s">
        <v>74</v>
      </c>
      <c r="BE80" t="s">
        <v>1490</v>
      </c>
      <c r="BF80" t="str">
        <f>HYPERLINK("http://dx.doi.org/10.1086/517608","http://dx.doi.org/10.1086/517608")</f>
        <v>http://dx.doi.org/10.1086/517608</v>
      </c>
      <c r="BG80" t="s">
        <v>74</v>
      </c>
      <c r="BH80" t="s">
        <v>74</v>
      </c>
      <c r="BI80">
        <v>15</v>
      </c>
      <c r="BJ80" t="s">
        <v>175</v>
      </c>
      <c r="BK80" t="s">
        <v>98</v>
      </c>
      <c r="BL80" t="s">
        <v>175</v>
      </c>
      <c r="BM80" t="s">
        <v>1491</v>
      </c>
      <c r="BN80" t="s">
        <v>74</v>
      </c>
      <c r="BO80" t="s">
        <v>154</v>
      </c>
      <c r="BP80" t="s">
        <v>74</v>
      </c>
      <c r="BQ80" t="s">
        <v>74</v>
      </c>
      <c r="BR80" t="s">
        <v>101</v>
      </c>
      <c r="BS80" t="s">
        <v>1492</v>
      </c>
      <c r="BT80" t="str">
        <f>HYPERLINK("https%3A%2F%2Fwww.webofscience.com%2Fwos%2Fwoscc%2Ffull-record%2FWOS:000248676600006","View Full Record in Web of Science")</f>
        <v>View Full Record in Web of Science</v>
      </c>
    </row>
    <row r="81" spans="1:72" x14ac:dyDescent="0.15">
      <c r="A81" t="s">
        <v>72</v>
      </c>
      <c r="B81" t="s">
        <v>1493</v>
      </c>
      <c r="C81" t="s">
        <v>74</v>
      </c>
      <c r="D81" t="s">
        <v>74</v>
      </c>
      <c r="E81" t="s">
        <v>74</v>
      </c>
      <c r="F81" t="s">
        <v>1494</v>
      </c>
      <c r="G81" t="s">
        <v>74</v>
      </c>
      <c r="H81" t="s">
        <v>74</v>
      </c>
      <c r="I81" t="s">
        <v>1495</v>
      </c>
      <c r="J81" t="s">
        <v>1496</v>
      </c>
      <c r="K81" t="s">
        <v>74</v>
      </c>
      <c r="L81" t="s">
        <v>74</v>
      </c>
      <c r="M81" t="s">
        <v>78</v>
      </c>
      <c r="N81" t="s">
        <v>79</v>
      </c>
      <c r="O81" t="s">
        <v>74</v>
      </c>
      <c r="P81" t="s">
        <v>74</v>
      </c>
      <c r="Q81" t="s">
        <v>74</v>
      </c>
      <c r="R81" t="s">
        <v>74</v>
      </c>
      <c r="S81" t="s">
        <v>74</v>
      </c>
      <c r="T81" t="s">
        <v>1497</v>
      </c>
      <c r="U81" t="s">
        <v>1498</v>
      </c>
      <c r="V81" t="s">
        <v>1499</v>
      </c>
      <c r="W81" t="s">
        <v>1500</v>
      </c>
      <c r="X81" t="s">
        <v>1273</v>
      </c>
      <c r="Y81" t="s">
        <v>1501</v>
      </c>
      <c r="Z81" t="s">
        <v>1502</v>
      </c>
      <c r="AA81" t="s">
        <v>1276</v>
      </c>
      <c r="AB81" t="s">
        <v>74</v>
      </c>
      <c r="AC81" t="s">
        <v>74</v>
      </c>
      <c r="AD81" t="s">
        <v>74</v>
      </c>
      <c r="AE81" t="s">
        <v>74</v>
      </c>
      <c r="AF81" t="s">
        <v>74</v>
      </c>
      <c r="AG81">
        <v>47</v>
      </c>
      <c r="AH81">
        <v>31</v>
      </c>
      <c r="AI81">
        <v>38</v>
      </c>
      <c r="AJ81">
        <v>0</v>
      </c>
      <c r="AK81">
        <v>11</v>
      </c>
      <c r="AL81" t="s">
        <v>1503</v>
      </c>
      <c r="AM81" t="s">
        <v>1504</v>
      </c>
      <c r="AN81" t="s">
        <v>1505</v>
      </c>
      <c r="AO81" t="s">
        <v>1506</v>
      </c>
      <c r="AP81" t="s">
        <v>1507</v>
      </c>
      <c r="AQ81" t="s">
        <v>74</v>
      </c>
      <c r="AR81" t="s">
        <v>1508</v>
      </c>
      <c r="AS81" t="s">
        <v>1509</v>
      </c>
      <c r="AT81" t="s">
        <v>1184</v>
      </c>
      <c r="AU81">
        <v>2007</v>
      </c>
      <c r="AV81">
        <v>41</v>
      </c>
      <c r="AW81">
        <v>24</v>
      </c>
      <c r="AX81" t="s">
        <v>74</v>
      </c>
      <c r="AY81" t="s">
        <v>74</v>
      </c>
      <c r="AZ81" t="s">
        <v>74</v>
      </c>
      <c r="BA81" t="s">
        <v>74</v>
      </c>
      <c r="BB81">
        <v>5061</v>
      </c>
      <c r="BC81">
        <v>5076</v>
      </c>
      <c r="BD81" t="s">
        <v>74</v>
      </c>
      <c r="BE81" t="s">
        <v>1510</v>
      </c>
      <c r="BF81" t="str">
        <f>HYPERLINK("http://dx.doi.org/10.1016/j.atmosenv.2006.06.064","http://dx.doi.org/10.1016/j.atmosenv.2006.06.064")</f>
        <v>http://dx.doi.org/10.1016/j.atmosenv.2006.06.064</v>
      </c>
      <c r="BG81" t="s">
        <v>74</v>
      </c>
      <c r="BH81" t="s">
        <v>74</v>
      </c>
      <c r="BI81">
        <v>16</v>
      </c>
      <c r="BJ81" t="s">
        <v>1511</v>
      </c>
      <c r="BK81" t="s">
        <v>98</v>
      </c>
      <c r="BL81" t="s">
        <v>1512</v>
      </c>
      <c r="BM81" t="s">
        <v>1513</v>
      </c>
      <c r="BN81" t="s">
        <v>74</v>
      </c>
      <c r="BO81" t="s">
        <v>74</v>
      </c>
      <c r="BP81" t="s">
        <v>74</v>
      </c>
      <c r="BQ81" t="s">
        <v>74</v>
      </c>
      <c r="BR81" t="s">
        <v>101</v>
      </c>
      <c r="BS81" t="s">
        <v>1514</v>
      </c>
      <c r="BT81" t="str">
        <f>HYPERLINK("https%3A%2F%2Fwww.webofscience.com%2Fwos%2Fwoscc%2Ffull-record%2FWOS:000248986400006","View Full Record in Web of Science")</f>
        <v>View Full Record in Web of Science</v>
      </c>
    </row>
    <row r="82" spans="1:72" x14ac:dyDescent="0.15">
      <c r="A82" t="s">
        <v>72</v>
      </c>
      <c r="B82" t="s">
        <v>1515</v>
      </c>
      <c r="C82" t="s">
        <v>74</v>
      </c>
      <c r="D82" t="s">
        <v>74</v>
      </c>
      <c r="E82" t="s">
        <v>74</v>
      </c>
      <c r="F82" t="s">
        <v>1516</v>
      </c>
      <c r="G82" t="s">
        <v>74</v>
      </c>
      <c r="H82" t="s">
        <v>74</v>
      </c>
      <c r="I82" t="s">
        <v>1517</v>
      </c>
      <c r="J82" t="s">
        <v>1496</v>
      </c>
      <c r="K82" t="s">
        <v>74</v>
      </c>
      <c r="L82" t="s">
        <v>74</v>
      </c>
      <c r="M82" t="s">
        <v>78</v>
      </c>
      <c r="N82" t="s">
        <v>79</v>
      </c>
      <c r="O82" t="s">
        <v>74</v>
      </c>
      <c r="P82" t="s">
        <v>74</v>
      </c>
      <c r="Q82" t="s">
        <v>74</v>
      </c>
      <c r="R82" t="s">
        <v>74</v>
      </c>
      <c r="S82" t="s">
        <v>74</v>
      </c>
      <c r="T82" t="s">
        <v>1518</v>
      </c>
      <c r="U82" t="s">
        <v>1519</v>
      </c>
      <c r="V82" t="s">
        <v>1520</v>
      </c>
      <c r="W82" t="s">
        <v>1521</v>
      </c>
      <c r="X82" t="s">
        <v>1522</v>
      </c>
      <c r="Y82" t="s">
        <v>1523</v>
      </c>
      <c r="Z82" t="s">
        <v>1524</v>
      </c>
      <c r="AA82" t="s">
        <v>1525</v>
      </c>
      <c r="AB82" t="s">
        <v>1526</v>
      </c>
      <c r="AC82" t="s">
        <v>1527</v>
      </c>
      <c r="AD82" t="s">
        <v>140</v>
      </c>
      <c r="AE82" t="s">
        <v>74</v>
      </c>
      <c r="AF82" t="s">
        <v>74</v>
      </c>
      <c r="AG82">
        <v>48</v>
      </c>
      <c r="AH82">
        <v>43</v>
      </c>
      <c r="AI82">
        <v>57</v>
      </c>
      <c r="AJ82">
        <v>4</v>
      </c>
      <c r="AK82">
        <v>43</v>
      </c>
      <c r="AL82" t="s">
        <v>1503</v>
      </c>
      <c r="AM82" t="s">
        <v>1504</v>
      </c>
      <c r="AN82" t="s">
        <v>1505</v>
      </c>
      <c r="AO82" t="s">
        <v>1506</v>
      </c>
      <c r="AP82" t="s">
        <v>74</v>
      </c>
      <c r="AQ82" t="s">
        <v>74</v>
      </c>
      <c r="AR82" t="s">
        <v>1508</v>
      </c>
      <c r="AS82" t="s">
        <v>1509</v>
      </c>
      <c r="AT82" t="s">
        <v>1184</v>
      </c>
      <c r="AU82">
        <v>2007</v>
      </c>
      <c r="AV82">
        <v>41</v>
      </c>
      <c r="AW82">
        <v>24</v>
      </c>
      <c r="AX82" t="s">
        <v>74</v>
      </c>
      <c r="AY82" t="s">
        <v>74</v>
      </c>
      <c r="AZ82" t="s">
        <v>74</v>
      </c>
      <c r="BA82" t="s">
        <v>74</v>
      </c>
      <c r="BB82">
        <v>5110</v>
      </c>
      <c r="BC82">
        <v>5121</v>
      </c>
      <c r="BD82" t="s">
        <v>74</v>
      </c>
      <c r="BE82" t="s">
        <v>1528</v>
      </c>
      <c r="BF82" t="str">
        <f>HYPERLINK("http://dx.doi.org/10.1016/j.atmosenv.2006.12.011","http://dx.doi.org/10.1016/j.atmosenv.2006.12.011")</f>
        <v>http://dx.doi.org/10.1016/j.atmosenv.2006.12.011</v>
      </c>
      <c r="BG82" t="s">
        <v>74</v>
      </c>
      <c r="BH82" t="s">
        <v>74</v>
      </c>
      <c r="BI82">
        <v>12</v>
      </c>
      <c r="BJ82" t="s">
        <v>1511</v>
      </c>
      <c r="BK82" t="s">
        <v>98</v>
      </c>
      <c r="BL82" t="s">
        <v>1512</v>
      </c>
      <c r="BM82" t="s">
        <v>1513</v>
      </c>
      <c r="BN82" t="s">
        <v>74</v>
      </c>
      <c r="BO82" t="s">
        <v>74</v>
      </c>
      <c r="BP82" t="s">
        <v>74</v>
      </c>
      <c r="BQ82" t="s">
        <v>74</v>
      </c>
      <c r="BR82" t="s">
        <v>101</v>
      </c>
      <c r="BS82" t="s">
        <v>1529</v>
      </c>
      <c r="BT82" t="str">
        <f>HYPERLINK("https%3A%2F%2Fwww.webofscience.com%2Fwos%2Fwoscc%2Ffull-record%2FWOS:000248986400010","View Full Record in Web of Science")</f>
        <v>View Full Record in Web of Science</v>
      </c>
    </row>
    <row r="83" spans="1:72" x14ac:dyDescent="0.15">
      <c r="A83" t="s">
        <v>72</v>
      </c>
      <c r="B83" t="s">
        <v>1530</v>
      </c>
      <c r="C83" t="s">
        <v>74</v>
      </c>
      <c r="D83" t="s">
        <v>74</v>
      </c>
      <c r="E83" t="s">
        <v>74</v>
      </c>
      <c r="F83" t="s">
        <v>1531</v>
      </c>
      <c r="G83" t="s">
        <v>74</v>
      </c>
      <c r="H83" t="s">
        <v>74</v>
      </c>
      <c r="I83" t="s">
        <v>1532</v>
      </c>
      <c r="J83" t="s">
        <v>1496</v>
      </c>
      <c r="K83" t="s">
        <v>74</v>
      </c>
      <c r="L83" t="s">
        <v>74</v>
      </c>
      <c r="M83" t="s">
        <v>78</v>
      </c>
      <c r="N83" t="s">
        <v>79</v>
      </c>
      <c r="O83" t="s">
        <v>74</v>
      </c>
      <c r="P83" t="s">
        <v>74</v>
      </c>
      <c r="Q83" t="s">
        <v>74</v>
      </c>
      <c r="R83" t="s">
        <v>74</v>
      </c>
      <c r="S83" t="s">
        <v>74</v>
      </c>
      <c r="T83" t="s">
        <v>1533</v>
      </c>
      <c r="U83" t="s">
        <v>1534</v>
      </c>
      <c r="V83" t="s">
        <v>1535</v>
      </c>
      <c r="W83" t="s">
        <v>1536</v>
      </c>
      <c r="X83" t="s">
        <v>1537</v>
      </c>
      <c r="Y83" t="s">
        <v>1538</v>
      </c>
      <c r="Z83" t="s">
        <v>1539</v>
      </c>
      <c r="AA83" t="s">
        <v>1540</v>
      </c>
      <c r="AB83" t="s">
        <v>1541</v>
      </c>
      <c r="AC83" t="s">
        <v>1527</v>
      </c>
      <c r="AD83" t="s">
        <v>140</v>
      </c>
      <c r="AE83" t="s">
        <v>74</v>
      </c>
      <c r="AF83" t="s">
        <v>74</v>
      </c>
      <c r="AG83">
        <v>52</v>
      </c>
      <c r="AH83">
        <v>74</v>
      </c>
      <c r="AI83">
        <v>98</v>
      </c>
      <c r="AJ83">
        <v>0</v>
      </c>
      <c r="AK83">
        <v>37</v>
      </c>
      <c r="AL83" t="s">
        <v>1503</v>
      </c>
      <c r="AM83" t="s">
        <v>1504</v>
      </c>
      <c r="AN83" t="s">
        <v>1505</v>
      </c>
      <c r="AO83" t="s">
        <v>1506</v>
      </c>
      <c r="AP83" t="s">
        <v>1507</v>
      </c>
      <c r="AQ83" t="s">
        <v>74</v>
      </c>
      <c r="AR83" t="s">
        <v>1508</v>
      </c>
      <c r="AS83" t="s">
        <v>1509</v>
      </c>
      <c r="AT83" t="s">
        <v>1184</v>
      </c>
      <c r="AU83">
        <v>2007</v>
      </c>
      <c r="AV83">
        <v>41</v>
      </c>
      <c r="AW83">
        <v>24</v>
      </c>
      <c r="AX83" t="s">
        <v>74</v>
      </c>
      <c r="AY83" t="s">
        <v>74</v>
      </c>
      <c r="AZ83" t="s">
        <v>74</v>
      </c>
      <c r="BA83" t="s">
        <v>74</v>
      </c>
      <c r="BB83">
        <v>5122</v>
      </c>
      <c r="BC83">
        <v>5137</v>
      </c>
      <c r="BD83" t="s">
        <v>74</v>
      </c>
      <c r="BE83" t="s">
        <v>1542</v>
      </c>
      <c r="BF83" t="str">
        <f>HYPERLINK("http://dx.doi.org/10.1016/j.atmosenv.2006.06.065","http://dx.doi.org/10.1016/j.atmosenv.2006.06.065")</f>
        <v>http://dx.doi.org/10.1016/j.atmosenv.2006.06.065</v>
      </c>
      <c r="BG83" t="s">
        <v>74</v>
      </c>
      <c r="BH83" t="s">
        <v>74</v>
      </c>
      <c r="BI83">
        <v>16</v>
      </c>
      <c r="BJ83" t="s">
        <v>1511</v>
      </c>
      <c r="BK83" t="s">
        <v>98</v>
      </c>
      <c r="BL83" t="s">
        <v>1512</v>
      </c>
      <c r="BM83" t="s">
        <v>1513</v>
      </c>
      <c r="BN83" t="s">
        <v>74</v>
      </c>
      <c r="BO83" t="s">
        <v>1249</v>
      </c>
      <c r="BP83" t="s">
        <v>74</v>
      </c>
      <c r="BQ83" t="s">
        <v>74</v>
      </c>
      <c r="BR83" t="s">
        <v>101</v>
      </c>
      <c r="BS83" t="s">
        <v>1543</v>
      </c>
      <c r="BT83" t="str">
        <f>HYPERLINK("https%3A%2F%2Fwww.webofscience.com%2Fwos%2Fwoscc%2Ffull-record%2FWOS:000248986400011","View Full Record in Web of Science")</f>
        <v>View Full Record in Web of Science</v>
      </c>
    </row>
    <row r="84" spans="1:72" x14ac:dyDescent="0.15">
      <c r="A84" t="s">
        <v>72</v>
      </c>
      <c r="B84" t="s">
        <v>1544</v>
      </c>
      <c r="C84" t="s">
        <v>74</v>
      </c>
      <c r="D84" t="s">
        <v>74</v>
      </c>
      <c r="E84" t="s">
        <v>74</v>
      </c>
      <c r="F84" t="s">
        <v>1545</v>
      </c>
      <c r="G84" t="s">
        <v>74</v>
      </c>
      <c r="H84" t="s">
        <v>74</v>
      </c>
      <c r="I84" t="s">
        <v>1546</v>
      </c>
      <c r="J84" t="s">
        <v>1496</v>
      </c>
      <c r="K84" t="s">
        <v>74</v>
      </c>
      <c r="L84" t="s">
        <v>74</v>
      </c>
      <c r="M84" t="s">
        <v>78</v>
      </c>
      <c r="N84" t="s">
        <v>248</v>
      </c>
      <c r="O84" t="s">
        <v>74</v>
      </c>
      <c r="P84" t="s">
        <v>74</v>
      </c>
      <c r="Q84" t="s">
        <v>74</v>
      </c>
      <c r="R84" t="s">
        <v>74</v>
      </c>
      <c r="S84" t="s">
        <v>74</v>
      </c>
      <c r="T84" t="s">
        <v>1547</v>
      </c>
      <c r="U84" t="s">
        <v>1548</v>
      </c>
      <c r="V84" t="s">
        <v>1549</v>
      </c>
      <c r="W84" t="s">
        <v>1550</v>
      </c>
      <c r="X84" t="s">
        <v>1551</v>
      </c>
      <c r="Y84" t="s">
        <v>1552</v>
      </c>
      <c r="Z84" t="s">
        <v>1502</v>
      </c>
      <c r="AA84" t="s">
        <v>1553</v>
      </c>
      <c r="AB84" t="s">
        <v>1554</v>
      </c>
      <c r="AC84" t="s">
        <v>1527</v>
      </c>
      <c r="AD84" t="s">
        <v>140</v>
      </c>
      <c r="AE84" t="s">
        <v>74</v>
      </c>
      <c r="AF84" t="s">
        <v>74</v>
      </c>
      <c r="AG84">
        <v>86</v>
      </c>
      <c r="AH84">
        <v>95</v>
      </c>
      <c r="AI84">
        <v>116</v>
      </c>
      <c r="AJ84">
        <v>1</v>
      </c>
      <c r="AK84">
        <v>73</v>
      </c>
      <c r="AL84" t="s">
        <v>1503</v>
      </c>
      <c r="AM84" t="s">
        <v>1504</v>
      </c>
      <c r="AN84" t="s">
        <v>1505</v>
      </c>
      <c r="AO84" t="s">
        <v>1506</v>
      </c>
      <c r="AP84" t="s">
        <v>74</v>
      </c>
      <c r="AQ84" t="s">
        <v>74</v>
      </c>
      <c r="AR84" t="s">
        <v>1508</v>
      </c>
      <c r="AS84" t="s">
        <v>1509</v>
      </c>
      <c r="AT84" t="s">
        <v>1184</v>
      </c>
      <c r="AU84">
        <v>2007</v>
      </c>
      <c r="AV84">
        <v>41</v>
      </c>
      <c r="AW84">
        <v>24</v>
      </c>
      <c r="AX84" t="s">
        <v>74</v>
      </c>
      <c r="AY84" t="s">
        <v>74</v>
      </c>
      <c r="AZ84" t="s">
        <v>74</v>
      </c>
      <c r="BA84" t="s">
        <v>74</v>
      </c>
      <c r="BB84">
        <v>5138</v>
      </c>
      <c r="BC84">
        <v>5161</v>
      </c>
      <c r="BD84" t="s">
        <v>74</v>
      </c>
      <c r="BE84" t="s">
        <v>1555</v>
      </c>
      <c r="BF84" t="str">
        <f>HYPERLINK("http://dx.doi.org/10.1016/j.atmosenv.2006.09.053","http://dx.doi.org/10.1016/j.atmosenv.2006.09.053")</f>
        <v>http://dx.doi.org/10.1016/j.atmosenv.2006.09.053</v>
      </c>
      <c r="BG84" t="s">
        <v>74</v>
      </c>
      <c r="BH84" t="s">
        <v>74</v>
      </c>
      <c r="BI84">
        <v>24</v>
      </c>
      <c r="BJ84" t="s">
        <v>1511</v>
      </c>
      <c r="BK84" t="s">
        <v>98</v>
      </c>
      <c r="BL84" t="s">
        <v>1512</v>
      </c>
      <c r="BM84" t="s">
        <v>1513</v>
      </c>
      <c r="BN84" t="s">
        <v>74</v>
      </c>
      <c r="BO84" t="s">
        <v>74</v>
      </c>
      <c r="BP84" t="s">
        <v>74</v>
      </c>
      <c r="BQ84" t="s">
        <v>74</v>
      </c>
      <c r="BR84" t="s">
        <v>101</v>
      </c>
      <c r="BS84" t="s">
        <v>1556</v>
      </c>
      <c r="BT84" t="str">
        <f>HYPERLINK("https%3A%2F%2Fwww.webofscience.com%2Fwos%2Fwoscc%2Ffull-record%2FWOS:000248986400012","View Full Record in Web of Science")</f>
        <v>View Full Record in Web of Science</v>
      </c>
    </row>
    <row r="85" spans="1:72" x14ac:dyDescent="0.15">
      <c r="A85" t="s">
        <v>72</v>
      </c>
      <c r="B85" t="s">
        <v>1557</v>
      </c>
      <c r="C85" t="s">
        <v>74</v>
      </c>
      <c r="D85" t="s">
        <v>74</v>
      </c>
      <c r="E85" t="s">
        <v>74</v>
      </c>
      <c r="F85" t="s">
        <v>1558</v>
      </c>
      <c r="G85" t="s">
        <v>74</v>
      </c>
      <c r="H85" t="s">
        <v>74</v>
      </c>
      <c r="I85" t="s">
        <v>1559</v>
      </c>
      <c r="J85" t="s">
        <v>1560</v>
      </c>
      <c r="K85" t="s">
        <v>74</v>
      </c>
      <c r="L85" t="s">
        <v>74</v>
      </c>
      <c r="M85" t="s">
        <v>78</v>
      </c>
      <c r="N85" t="s">
        <v>79</v>
      </c>
      <c r="O85" t="s">
        <v>74</v>
      </c>
      <c r="P85" t="s">
        <v>74</v>
      </c>
      <c r="Q85" t="s">
        <v>74</v>
      </c>
      <c r="R85" t="s">
        <v>74</v>
      </c>
      <c r="S85" t="s">
        <v>74</v>
      </c>
      <c r="T85" t="s">
        <v>1561</v>
      </c>
      <c r="U85" t="s">
        <v>1562</v>
      </c>
      <c r="V85" t="s">
        <v>1563</v>
      </c>
      <c r="W85" t="s">
        <v>1564</v>
      </c>
      <c r="X85" t="s">
        <v>1565</v>
      </c>
      <c r="Y85" t="s">
        <v>1566</v>
      </c>
      <c r="Z85" t="s">
        <v>1567</v>
      </c>
      <c r="AA85" t="s">
        <v>1568</v>
      </c>
      <c r="AB85" t="s">
        <v>74</v>
      </c>
      <c r="AC85" t="s">
        <v>74</v>
      </c>
      <c r="AD85" t="s">
        <v>74</v>
      </c>
      <c r="AE85" t="s">
        <v>74</v>
      </c>
      <c r="AF85" t="s">
        <v>74</v>
      </c>
      <c r="AG85">
        <v>28</v>
      </c>
      <c r="AH85">
        <v>27</v>
      </c>
      <c r="AI85">
        <v>28</v>
      </c>
      <c r="AJ85">
        <v>0</v>
      </c>
      <c r="AK85">
        <v>13</v>
      </c>
      <c r="AL85" t="s">
        <v>1569</v>
      </c>
      <c r="AM85" t="s">
        <v>1570</v>
      </c>
      <c r="AN85" t="s">
        <v>1571</v>
      </c>
      <c r="AO85" t="s">
        <v>1572</v>
      </c>
      <c r="AP85" t="s">
        <v>74</v>
      </c>
      <c r="AQ85" t="s">
        <v>74</v>
      </c>
      <c r="AR85" t="s">
        <v>1573</v>
      </c>
      <c r="AS85" t="s">
        <v>1574</v>
      </c>
      <c r="AT85" t="s">
        <v>1184</v>
      </c>
      <c r="AU85">
        <v>2007</v>
      </c>
      <c r="AV85">
        <v>78</v>
      </c>
      <c r="AW85">
        <v>8</v>
      </c>
      <c r="AX85" t="s">
        <v>74</v>
      </c>
      <c r="AY85" t="s">
        <v>74</v>
      </c>
      <c r="AZ85" t="s">
        <v>74</v>
      </c>
      <c r="BA85" t="s">
        <v>74</v>
      </c>
      <c r="BB85">
        <v>793</v>
      </c>
      <c r="BC85">
        <v>800</v>
      </c>
      <c r="BD85" t="s">
        <v>74</v>
      </c>
      <c r="BE85" t="s">
        <v>74</v>
      </c>
      <c r="BF85" t="s">
        <v>74</v>
      </c>
      <c r="BG85" t="s">
        <v>74</v>
      </c>
      <c r="BH85" t="s">
        <v>74</v>
      </c>
      <c r="BI85">
        <v>8</v>
      </c>
      <c r="BJ85" t="s">
        <v>1575</v>
      </c>
      <c r="BK85" t="s">
        <v>1576</v>
      </c>
      <c r="BL85" t="s">
        <v>1577</v>
      </c>
      <c r="BM85" t="s">
        <v>1578</v>
      </c>
      <c r="BN85">
        <v>17760288</v>
      </c>
      <c r="BO85" t="s">
        <v>74</v>
      </c>
      <c r="BP85" t="s">
        <v>74</v>
      </c>
      <c r="BQ85" t="s">
        <v>74</v>
      </c>
      <c r="BR85" t="s">
        <v>101</v>
      </c>
      <c r="BS85" t="s">
        <v>1579</v>
      </c>
      <c r="BT85" t="str">
        <f>HYPERLINK("https%3A%2F%2Fwww.webofscience.com%2Fwos%2Fwoscc%2Ffull-record%2FWOS:000248634200008","View Full Record in Web of Science")</f>
        <v>View Full Record in Web of Science</v>
      </c>
    </row>
    <row r="86" spans="1:72" x14ac:dyDescent="0.15">
      <c r="A86" t="s">
        <v>72</v>
      </c>
      <c r="B86" t="s">
        <v>1580</v>
      </c>
      <c r="C86" t="s">
        <v>74</v>
      </c>
      <c r="D86" t="s">
        <v>74</v>
      </c>
      <c r="E86" t="s">
        <v>74</v>
      </c>
      <c r="F86" t="s">
        <v>1581</v>
      </c>
      <c r="G86" t="s">
        <v>74</v>
      </c>
      <c r="H86" t="s">
        <v>74</v>
      </c>
      <c r="I86" t="s">
        <v>1582</v>
      </c>
      <c r="J86" t="s">
        <v>1583</v>
      </c>
      <c r="K86" t="s">
        <v>74</v>
      </c>
      <c r="L86" t="s">
        <v>74</v>
      </c>
      <c r="M86" t="s">
        <v>78</v>
      </c>
      <c r="N86" t="s">
        <v>79</v>
      </c>
      <c r="O86" t="s">
        <v>74</v>
      </c>
      <c r="P86" t="s">
        <v>74</v>
      </c>
      <c r="Q86" t="s">
        <v>74</v>
      </c>
      <c r="R86" t="s">
        <v>74</v>
      </c>
      <c r="S86" t="s">
        <v>74</v>
      </c>
      <c r="T86" t="s">
        <v>1584</v>
      </c>
      <c r="U86" t="s">
        <v>1585</v>
      </c>
      <c r="V86" t="s">
        <v>1586</v>
      </c>
      <c r="W86" t="s">
        <v>1587</v>
      </c>
      <c r="X86" t="s">
        <v>1588</v>
      </c>
      <c r="Y86" t="s">
        <v>1589</v>
      </c>
      <c r="Z86" t="s">
        <v>1590</v>
      </c>
      <c r="AA86" t="s">
        <v>1591</v>
      </c>
      <c r="AB86" t="s">
        <v>74</v>
      </c>
      <c r="AC86" t="s">
        <v>74</v>
      </c>
      <c r="AD86" t="s">
        <v>74</v>
      </c>
      <c r="AE86" t="s">
        <v>74</v>
      </c>
      <c r="AF86" t="s">
        <v>74</v>
      </c>
      <c r="AG86">
        <v>42</v>
      </c>
      <c r="AH86">
        <v>8</v>
      </c>
      <c r="AI86">
        <v>9</v>
      </c>
      <c r="AJ86">
        <v>0</v>
      </c>
      <c r="AK86">
        <v>13</v>
      </c>
      <c r="AL86" t="s">
        <v>1592</v>
      </c>
      <c r="AM86" t="s">
        <v>1593</v>
      </c>
      <c r="AN86" t="s">
        <v>1594</v>
      </c>
      <c r="AO86" t="s">
        <v>1595</v>
      </c>
      <c r="AP86" t="s">
        <v>1596</v>
      </c>
      <c r="AQ86" t="s">
        <v>74</v>
      </c>
      <c r="AR86" t="s">
        <v>1597</v>
      </c>
      <c r="AS86" t="s">
        <v>1598</v>
      </c>
      <c r="AT86" t="s">
        <v>1184</v>
      </c>
      <c r="AU86">
        <v>2007</v>
      </c>
      <c r="AV86">
        <v>61</v>
      </c>
      <c r="AW86">
        <v>10</v>
      </c>
      <c r="AX86" t="s">
        <v>74</v>
      </c>
      <c r="AY86" t="s">
        <v>74</v>
      </c>
      <c r="AZ86" t="s">
        <v>74</v>
      </c>
      <c r="BA86" t="s">
        <v>74</v>
      </c>
      <c r="BB86">
        <v>1561</v>
      </c>
      <c r="BC86">
        <v>1571</v>
      </c>
      <c r="BD86" t="s">
        <v>74</v>
      </c>
      <c r="BE86" t="s">
        <v>1599</v>
      </c>
      <c r="BF86" t="str">
        <f>HYPERLINK("http://dx.doi.org/10.1007/s00265-007-0388-0","http://dx.doi.org/10.1007/s00265-007-0388-0")</f>
        <v>http://dx.doi.org/10.1007/s00265-007-0388-0</v>
      </c>
      <c r="BG86" t="s">
        <v>74</v>
      </c>
      <c r="BH86" t="s">
        <v>74</v>
      </c>
      <c r="BI86">
        <v>11</v>
      </c>
      <c r="BJ86" t="s">
        <v>1600</v>
      </c>
      <c r="BK86" t="s">
        <v>98</v>
      </c>
      <c r="BL86" t="s">
        <v>1601</v>
      </c>
      <c r="BM86" t="s">
        <v>1602</v>
      </c>
      <c r="BN86" t="s">
        <v>74</v>
      </c>
      <c r="BO86" t="s">
        <v>74</v>
      </c>
      <c r="BP86" t="s">
        <v>74</v>
      </c>
      <c r="BQ86" t="s">
        <v>74</v>
      </c>
      <c r="BR86" t="s">
        <v>101</v>
      </c>
      <c r="BS86" t="s">
        <v>1603</v>
      </c>
      <c r="BT86" t="str">
        <f>HYPERLINK("https%3A%2F%2Fwww.webofscience.com%2Fwos%2Fwoscc%2Ffull-record%2FWOS:000247999100007","View Full Record in Web of Science")</f>
        <v>View Full Record in Web of Science</v>
      </c>
    </row>
    <row r="87" spans="1:72" x14ac:dyDescent="0.15">
      <c r="A87" t="s">
        <v>72</v>
      </c>
      <c r="B87" t="s">
        <v>1604</v>
      </c>
      <c r="C87" t="s">
        <v>74</v>
      </c>
      <c r="D87" t="s">
        <v>74</v>
      </c>
      <c r="E87" t="s">
        <v>74</v>
      </c>
      <c r="F87" t="s">
        <v>1605</v>
      </c>
      <c r="G87" t="s">
        <v>74</v>
      </c>
      <c r="H87" t="s">
        <v>74</v>
      </c>
      <c r="I87" t="s">
        <v>1606</v>
      </c>
      <c r="J87" t="s">
        <v>1607</v>
      </c>
      <c r="K87" t="s">
        <v>74</v>
      </c>
      <c r="L87" t="s">
        <v>74</v>
      </c>
      <c r="M87" t="s">
        <v>78</v>
      </c>
      <c r="N87" t="s">
        <v>79</v>
      </c>
      <c r="O87" t="s">
        <v>74</v>
      </c>
      <c r="P87" t="s">
        <v>74</v>
      </c>
      <c r="Q87" t="s">
        <v>74</v>
      </c>
      <c r="R87" t="s">
        <v>74</v>
      </c>
      <c r="S87" t="s">
        <v>74</v>
      </c>
      <c r="T87" t="s">
        <v>1608</v>
      </c>
      <c r="U87" t="s">
        <v>1609</v>
      </c>
      <c r="V87" t="s">
        <v>1610</v>
      </c>
      <c r="W87" t="s">
        <v>1611</v>
      </c>
      <c r="X87" t="s">
        <v>1612</v>
      </c>
      <c r="Y87" t="s">
        <v>1613</v>
      </c>
      <c r="Z87" t="s">
        <v>1614</v>
      </c>
      <c r="AA87" t="s">
        <v>1615</v>
      </c>
      <c r="AB87" t="s">
        <v>1616</v>
      </c>
      <c r="AC87" t="s">
        <v>74</v>
      </c>
      <c r="AD87" t="s">
        <v>74</v>
      </c>
      <c r="AE87" t="s">
        <v>74</v>
      </c>
      <c r="AF87" t="s">
        <v>74</v>
      </c>
      <c r="AG87">
        <v>37</v>
      </c>
      <c r="AH87">
        <v>17</v>
      </c>
      <c r="AI87">
        <v>23</v>
      </c>
      <c r="AJ87">
        <v>0</v>
      </c>
      <c r="AK87">
        <v>13</v>
      </c>
      <c r="AL87" t="s">
        <v>592</v>
      </c>
      <c r="AM87" t="s">
        <v>273</v>
      </c>
      <c r="AN87" t="s">
        <v>593</v>
      </c>
      <c r="AO87" t="s">
        <v>1617</v>
      </c>
      <c r="AP87" t="s">
        <v>1618</v>
      </c>
      <c r="AQ87" t="s">
        <v>74</v>
      </c>
      <c r="AR87" t="s">
        <v>1619</v>
      </c>
      <c r="AS87" t="s">
        <v>1620</v>
      </c>
      <c r="AT87" t="s">
        <v>1184</v>
      </c>
      <c r="AU87">
        <v>2007</v>
      </c>
      <c r="AV87">
        <v>49</v>
      </c>
      <c r="AW87">
        <v>2</v>
      </c>
      <c r="AX87" t="s">
        <v>74</v>
      </c>
      <c r="AY87" t="s">
        <v>74</v>
      </c>
      <c r="AZ87" t="s">
        <v>74</v>
      </c>
      <c r="BA87" t="s">
        <v>74</v>
      </c>
      <c r="BB87">
        <v>170</v>
      </c>
      <c r="BC87">
        <v>177</v>
      </c>
      <c r="BD87" t="s">
        <v>74</v>
      </c>
      <c r="BE87" t="s">
        <v>1621</v>
      </c>
      <c r="BF87" t="str">
        <f>HYPERLINK("http://dx.doi.org/10.1016/j.coldregions.2007.03.005","http://dx.doi.org/10.1016/j.coldregions.2007.03.005")</f>
        <v>http://dx.doi.org/10.1016/j.coldregions.2007.03.005</v>
      </c>
      <c r="BG87" t="s">
        <v>74</v>
      </c>
      <c r="BH87" t="s">
        <v>74</v>
      </c>
      <c r="BI87">
        <v>8</v>
      </c>
      <c r="BJ87" t="s">
        <v>1622</v>
      </c>
      <c r="BK87" t="s">
        <v>98</v>
      </c>
      <c r="BL87" t="s">
        <v>1623</v>
      </c>
      <c r="BM87" t="s">
        <v>1624</v>
      </c>
      <c r="BN87" t="s">
        <v>74</v>
      </c>
      <c r="BO87" t="s">
        <v>74</v>
      </c>
      <c r="BP87" t="s">
        <v>74</v>
      </c>
      <c r="BQ87" t="s">
        <v>74</v>
      </c>
      <c r="BR87" t="s">
        <v>101</v>
      </c>
      <c r="BS87" t="s">
        <v>1625</v>
      </c>
      <c r="BT87" t="str">
        <f>HYPERLINK("https%3A%2F%2Fwww.webofscience.com%2Fwos%2Fwoscc%2Ffull-record%2FWOS:000248162000007","View Full Record in Web of Science")</f>
        <v>View Full Record in Web of Science</v>
      </c>
    </row>
    <row r="88" spans="1:72" x14ac:dyDescent="0.15">
      <c r="A88" t="s">
        <v>72</v>
      </c>
      <c r="B88" t="s">
        <v>1626</v>
      </c>
      <c r="C88" t="s">
        <v>74</v>
      </c>
      <c r="D88" t="s">
        <v>74</v>
      </c>
      <c r="E88" t="s">
        <v>74</v>
      </c>
      <c r="F88" t="s">
        <v>1627</v>
      </c>
      <c r="G88" t="s">
        <v>74</v>
      </c>
      <c r="H88" t="s">
        <v>74</v>
      </c>
      <c r="I88" t="s">
        <v>1628</v>
      </c>
      <c r="J88" t="s">
        <v>1629</v>
      </c>
      <c r="K88" t="s">
        <v>74</v>
      </c>
      <c r="L88" t="s">
        <v>74</v>
      </c>
      <c r="M88" t="s">
        <v>78</v>
      </c>
      <c r="N88" t="s">
        <v>79</v>
      </c>
      <c r="O88" t="s">
        <v>74</v>
      </c>
      <c r="P88" t="s">
        <v>74</v>
      </c>
      <c r="Q88" t="s">
        <v>74</v>
      </c>
      <c r="R88" t="s">
        <v>74</v>
      </c>
      <c r="S88" t="s">
        <v>74</v>
      </c>
      <c r="T88" t="s">
        <v>1630</v>
      </c>
      <c r="U88" t="s">
        <v>1631</v>
      </c>
      <c r="V88" t="s">
        <v>1632</v>
      </c>
      <c r="W88" t="s">
        <v>1633</v>
      </c>
      <c r="X88" t="s">
        <v>1634</v>
      </c>
      <c r="Y88" t="s">
        <v>1635</v>
      </c>
      <c r="Z88" t="s">
        <v>1636</v>
      </c>
      <c r="AA88" t="s">
        <v>1637</v>
      </c>
      <c r="AB88" t="s">
        <v>1638</v>
      </c>
      <c r="AC88" t="s">
        <v>74</v>
      </c>
      <c r="AD88" t="s">
        <v>74</v>
      </c>
      <c r="AE88" t="s">
        <v>74</v>
      </c>
      <c r="AF88" t="s">
        <v>74</v>
      </c>
      <c r="AG88">
        <v>79</v>
      </c>
      <c r="AH88">
        <v>61</v>
      </c>
      <c r="AI88">
        <v>64</v>
      </c>
      <c r="AJ88">
        <v>2</v>
      </c>
      <c r="AK88">
        <v>35</v>
      </c>
      <c r="AL88" t="s">
        <v>1639</v>
      </c>
      <c r="AM88" t="s">
        <v>1593</v>
      </c>
      <c r="AN88" t="s">
        <v>1640</v>
      </c>
      <c r="AO88" t="s">
        <v>1641</v>
      </c>
      <c r="AP88" t="s">
        <v>74</v>
      </c>
      <c r="AQ88" t="s">
        <v>74</v>
      </c>
      <c r="AR88" t="s">
        <v>1642</v>
      </c>
      <c r="AS88" t="s">
        <v>1643</v>
      </c>
      <c r="AT88" t="s">
        <v>1184</v>
      </c>
      <c r="AU88">
        <v>2007</v>
      </c>
      <c r="AV88">
        <v>147</v>
      </c>
      <c r="AW88">
        <v>4</v>
      </c>
      <c r="AX88" t="s">
        <v>74</v>
      </c>
      <c r="AY88" t="s">
        <v>74</v>
      </c>
      <c r="AZ88" t="s">
        <v>74</v>
      </c>
      <c r="BA88" t="s">
        <v>74</v>
      </c>
      <c r="BB88">
        <v>868</v>
      </c>
      <c r="BC88">
        <v>875</v>
      </c>
      <c r="BD88" t="s">
        <v>74</v>
      </c>
      <c r="BE88" t="s">
        <v>1644</v>
      </c>
      <c r="BF88" t="str">
        <f>HYPERLINK("http://dx.doi.org/10.1016/j.cbpa.2007.02.010","http://dx.doi.org/10.1016/j.cbpa.2007.02.010")</f>
        <v>http://dx.doi.org/10.1016/j.cbpa.2007.02.010</v>
      </c>
      <c r="BG88" t="s">
        <v>74</v>
      </c>
      <c r="BH88" t="s">
        <v>74</v>
      </c>
      <c r="BI88">
        <v>8</v>
      </c>
      <c r="BJ88" t="s">
        <v>1645</v>
      </c>
      <c r="BK88" t="s">
        <v>98</v>
      </c>
      <c r="BL88" t="s">
        <v>1645</v>
      </c>
      <c r="BM88" t="s">
        <v>1646</v>
      </c>
      <c r="BN88">
        <v>17383206</v>
      </c>
      <c r="BO88" t="s">
        <v>74</v>
      </c>
      <c r="BP88" t="s">
        <v>74</v>
      </c>
      <c r="BQ88" t="s">
        <v>74</v>
      </c>
      <c r="BR88" t="s">
        <v>101</v>
      </c>
      <c r="BS88" t="s">
        <v>1647</v>
      </c>
      <c r="BT88" t="str">
        <f>HYPERLINK("https%3A%2F%2Fwww.webofscience.com%2Fwos%2Fwoscc%2Ffull-record%2FWOS:000247717000007","View Full Record in Web of Science")</f>
        <v>View Full Record in Web of Science</v>
      </c>
    </row>
    <row r="89" spans="1:72" x14ac:dyDescent="0.15">
      <c r="A89" t="s">
        <v>72</v>
      </c>
      <c r="B89" t="s">
        <v>1648</v>
      </c>
      <c r="C89" t="s">
        <v>74</v>
      </c>
      <c r="D89" t="s">
        <v>74</v>
      </c>
      <c r="E89" t="s">
        <v>74</v>
      </c>
      <c r="F89" t="s">
        <v>1649</v>
      </c>
      <c r="G89" t="s">
        <v>74</v>
      </c>
      <c r="H89" t="s">
        <v>74</v>
      </c>
      <c r="I89" t="s">
        <v>1650</v>
      </c>
      <c r="J89" t="s">
        <v>1651</v>
      </c>
      <c r="K89" t="s">
        <v>74</v>
      </c>
      <c r="L89" t="s">
        <v>74</v>
      </c>
      <c r="M89" t="s">
        <v>78</v>
      </c>
      <c r="N89" t="s">
        <v>79</v>
      </c>
      <c r="O89" t="s">
        <v>74</v>
      </c>
      <c r="P89" t="s">
        <v>74</v>
      </c>
      <c r="Q89" t="s">
        <v>74</v>
      </c>
      <c r="R89" t="s">
        <v>74</v>
      </c>
      <c r="S89" t="s">
        <v>74</v>
      </c>
      <c r="T89" t="s">
        <v>1652</v>
      </c>
      <c r="U89" t="s">
        <v>1653</v>
      </c>
      <c r="V89" t="s">
        <v>1654</v>
      </c>
      <c r="W89" t="s">
        <v>1655</v>
      </c>
      <c r="X89" t="s">
        <v>1656</v>
      </c>
      <c r="Y89" t="s">
        <v>1657</v>
      </c>
      <c r="Z89" t="s">
        <v>1658</v>
      </c>
      <c r="AA89" t="s">
        <v>1659</v>
      </c>
      <c r="AB89" t="s">
        <v>1660</v>
      </c>
      <c r="AC89" t="s">
        <v>74</v>
      </c>
      <c r="AD89" t="s">
        <v>74</v>
      </c>
      <c r="AE89" t="s">
        <v>74</v>
      </c>
      <c r="AF89" t="s">
        <v>74</v>
      </c>
      <c r="AG89">
        <v>55</v>
      </c>
      <c r="AH89">
        <v>37</v>
      </c>
      <c r="AI89">
        <v>39</v>
      </c>
      <c r="AJ89">
        <v>0</v>
      </c>
      <c r="AK89">
        <v>8</v>
      </c>
      <c r="AL89" t="s">
        <v>1503</v>
      </c>
      <c r="AM89" t="s">
        <v>1504</v>
      </c>
      <c r="AN89" t="s">
        <v>1505</v>
      </c>
      <c r="AO89" t="s">
        <v>1661</v>
      </c>
      <c r="AP89" t="s">
        <v>1662</v>
      </c>
      <c r="AQ89" t="s">
        <v>74</v>
      </c>
      <c r="AR89" t="s">
        <v>1663</v>
      </c>
      <c r="AS89" t="s">
        <v>1664</v>
      </c>
      <c r="AT89" t="s">
        <v>1184</v>
      </c>
      <c r="AU89">
        <v>2007</v>
      </c>
      <c r="AV89">
        <v>54</v>
      </c>
      <c r="AW89">
        <v>8</v>
      </c>
      <c r="AX89" t="s">
        <v>74</v>
      </c>
      <c r="AY89" t="s">
        <v>74</v>
      </c>
      <c r="AZ89" t="s">
        <v>74</v>
      </c>
      <c r="BA89" t="s">
        <v>74</v>
      </c>
      <c r="BB89">
        <v>1402</v>
      </c>
      <c r="BC89">
        <v>1420</v>
      </c>
      <c r="BD89" t="s">
        <v>74</v>
      </c>
      <c r="BE89" t="s">
        <v>1665</v>
      </c>
      <c r="BF89" t="str">
        <f>HYPERLINK("http://dx.doi.org/10.1016/j.dsr.2007.04.013","http://dx.doi.org/10.1016/j.dsr.2007.04.013")</f>
        <v>http://dx.doi.org/10.1016/j.dsr.2007.04.013</v>
      </c>
      <c r="BG89" t="s">
        <v>74</v>
      </c>
      <c r="BH89" t="s">
        <v>74</v>
      </c>
      <c r="BI89">
        <v>19</v>
      </c>
      <c r="BJ89" t="s">
        <v>221</v>
      </c>
      <c r="BK89" t="s">
        <v>98</v>
      </c>
      <c r="BL89" t="s">
        <v>221</v>
      </c>
      <c r="BM89" t="s">
        <v>1666</v>
      </c>
      <c r="BN89" t="s">
        <v>74</v>
      </c>
      <c r="BO89" t="s">
        <v>74</v>
      </c>
      <c r="BP89" t="s">
        <v>74</v>
      </c>
      <c r="BQ89" t="s">
        <v>74</v>
      </c>
      <c r="BR89" t="s">
        <v>101</v>
      </c>
      <c r="BS89" t="s">
        <v>1667</v>
      </c>
      <c r="BT89" t="str">
        <f>HYPERLINK("https%3A%2F%2Fwww.webofscience.com%2Fwos%2Fwoscc%2Ffull-record%2FWOS:000249238400015","View Full Record in Web of Science")</f>
        <v>View Full Record in Web of Science</v>
      </c>
    </row>
    <row r="90" spans="1:72" x14ac:dyDescent="0.15">
      <c r="A90" t="s">
        <v>72</v>
      </c>
      <c r="B90" t="s">
        <v>1668</v>
      </c>
      <c r="C90" t="s">
        <v>74</v>
      </c>
      <c r="D90" t="s">
        <v>74</v>
      </c>
      <c r="E90" t="s">
        <v>74</v>
      </c>
      <c r="F90" t="s">
        <v>1669</v>
      </c>
      <c r="G90" t="s">
        <v>74</v>
      </c>
      <c r="H90" t="s">
        <v>74</v>
      </c>
      <c r="I90" t="s">
        <v>1670</v>
      </c>
      <c r="J90" t="s">
        <v>1671</v>
      </c>
      <c r="K90" t="s">
        <v>74</v>
      </c>
      <c r="L90" t="s">
        <v>74</v>
      </c>
      <c r="M90" t="s">
        <v>78</v>
      </c>
      <c r="N90" t="s">
        <v>79</v>
      </c>
      <c r="O90" t="s">
        <v>74</v>
      </c>
      <c r="P90" t="s">
        <v>74</v>
      </c>
      <c r="Q90" t="s">
        <v>74</v>
      </c>
      <c r="R90" t="s">
        <v>74</v>
      </c>
      <c r="S90" t="s">
        <v>74</v>
      </c>
      <c r="T90" t="s">
        <v>74</v>
      </c>
      <c r="U90" t="s">
        <v>1672</v>
      </c>
      <c r="V90" t="s">
        <v>74</v>
      </c>
      <c r="W90" t="s">
        <v>1673</v>
      </c>
      <c r="X90" t="s">
        <v>1674</v>
      </c>
      <c r="Y90" t="s">
        <v>1675</v>
      </c>
      <c r="Z90" t="s">
        <v>1676</v>
      </c>
      <c r="AA90" t="s">
        <v>74</v>
      </c>
      <c r="AB90" t="s">
        <v>74</v>
      </c>
      <c r="AC90" t="s">
        <v>74</v>
      </c>
      <c r="AD90" t="s">
        <v>74</v>
      </c>
      <c r="AE90" t="s">
        <v>74</v>
      </c>
      <c r="AF90" t="s">
        <v>74</v>
      </c>
      <c r="AG90">
        <v>12</v>
      </c>
      <c r="AH90">
        <v>1</v>
      </c>
      <c r="AI90">
        <v>1</v>
      </c>
      <c r="AJ90">
        <v>1</v>
      </c>
      <c r="AK90">
        <v>2</v>
      </c>
      <c r="AL90" t="s">
        <v>1677</v>
      </c>
      <c r="AM90" t="s">
        <v>1593</v>
      </c>
      <c r="AN90" t="s">
        <v>1678</v>
      </c>
      <c r="AO90" t="s">
        <v>1679</v>
      </c>
      <c r="AP90" t="s">
        <v>1680</v>
      </c>
      <c r="AQ90" t="s">
        <v>74</v>
      </c>
      <c r="AR90" t="s">
        <v>1681</v>
      </c>
      <c r="AS90" t="s">
        <v>1682</v>
      </c>
      <c r="AT90" t="s">
        <v>1184</v>
      </c>
      <c r="AU90">
        <v>2007</v>
      </c>
      <c r="AV90">
        <v>415</v>
      </c>
      <c r="AW90">
        <v>6</v>
      </c>
      <c r="AX90" t="s">
        <v>74</v>
      </c>
      <c r="AY90" t="s">
        <v>74</v>
      </c>
      <c r="AZ90" t="s">
        <v>74</v>
      </c>
      <c r="BA90" t="s">
        <v>74</v>
      </c>
      <c r="BB90">
        <v>895</v>
      </c>
      <c r="BC90">
        <v>900</v>
      </c>
      <c r="BD90" t="s">
        <v>74</v>
      </c>
      <c r="BE90" t="s">
        <v>1683</v>
      </c>
      <c r="BF90" t="str">
        <f>HYPERLINK("http://dx.doi.org/10.1134/S1028334X07060141","http://dx.doi.org/10.1134/S1028334X07060141")</f>
        <v>http://dx.doi.org/10.1134/S1028334X07060141</v>
      </c>
      <c r="BG90" t="s">
        <v>74</v>
      </c>
      <c r="BH90" t="s">
        <v>74</v>
      </c>
      <c r="BI90">
        <v>6</v>
      </c>
      <c r="BJ90" t="s">
        <v>151</v>
      </c>
      <c r="BK90" t="s">
        <v>98</v>
      </c>
      <c r="BL90" t="s">
        <v>152</v>
      </c>
      <c r="BM90" t="s">
        <v>1684</v>
      </c>
      <c r="BN90" t="s">
        <v>74</v>
      </c>
      <c r="BO90" t="s">
        <v>74</v>
      </c>
      <c r="BP90" t="s">
        <v>74</v>
      </c>
      <c r="BQ90" t="s">
        <v>74</v>
      </c>
      <c r="BR90" t="s">
        <v>101</v>
      </c>
      <c r="BS90" t="s">
        <v>1685</v>
      </c>
      <c r="BT90" t="str">
        <f>HYPERLINK("https%3A%2F%2Fwww.webofscience.com%2Fwos%2Fwoscc%2Ffull-record%2FWOS:000249646900014","View Full Record in Web of Science")</f>
        <v>View Full Record in Web of Science</v>
      </c>
    </row>
    <row r="91" spans="1:72" x14ac:dyDescent="0.15">
      <c r="A91" t="s">
        <v>72</v>
      </c>
      <c r="B91" t="s">
        <v>1686</v>
      </c>
      <c r="C91" t="s">
        <v>74</v>
      </c>
      <c r="D91" t="s">
        <v>74</v>
      </c>
      <c r="E91" t="s">
        <v>74</v>
      </c>
      <c r="F91" t="s">
        <v>1687</v>
      </c>
      <c r="G91" t="s">
        <v>74</v>
      </c>
      <c r="H91" t="s">
        <v>74</v>
      </c>
      <c r="I91" t="s">
        <v>1688</v>
      </c>
      <c r="J91" t="s">
        <v>1689</v>
      </c>
      <c r="K91" t="s">
        <v>74</v>
      </c>
      <c r="L91" t="s">
        <v>74</v>
      </c>
      <c r="M91" t="s">
        <v>78</v>
      </c>
      <c r="N91" t="s">
        <v>79</v>
      </c>
      <c r="O91" t="s">
        <v>74</v>
      </c>
      <c r="P91" t="s">
        <v>74</v>
      </c>
      <c r="Q91" t="s">
        <v>74</v>
      </c>
      <c r="R91" t="s">
        <v>74</v>
      </c>
      <c r="S91" t="s">
        <v>74</v>
      </c>
      <c r="T91" t="s">
        <v>1690</v>
      </c>
      <c r="U91" t="s">
        <v>1691</v>
      </c>
      <c r="V91" t="s">
        <v>1692</v>
      </c>
      <c r="W91" t="s">
        <v>1693</v>
      </c>
      <c r="X91" t="s">
        <v>1694</v>
      </c>
      <c r="Y91" t="s">
        <v>1695</v>
      </c>
      <c r="Z91" t="s">
        <v>1696</v>
      </c>
      <c r="AA91" t="s">
        <v>1697</v>
      </c>
      <c r="AB91" t="s">
        <v>1698</v>
      </c>
      <c r="AC91" t="s">
        <v>1527</v>
      </c>
      <c r="AD91" t="s">
        <v>140</v>
      </c>
      <c r="AE91" t="s">
        <v>74</v>
      </c>
      <c r="AF91" t="s">
        <v>74</v>
      </c>
      <c r="AG91">
        <v>37</v>
      </c>
      <c r="AH91">
        <v>250</v>
      </c>
      <c r="AI91">
        <v>281</v>
      </c>
      <c r="AJ91">
        <v>8</v>
      </c>
      <c r="AK91">
        <v>116</v>
      </c>
      <c r="AL91" t="s">
        <v>1202</v>
      </c>
      <c r="AM91" t="s">
        <v>1203</v>
      </c>
      <c r="AN91" t="s">
        <v>1204</v>
      </c>
      <c r="AO91" t="s">
        <v>1699</v>
      </c>
      <c r="AP91" t="s">
        <v>1700</v>
      </c>
      <c r="AQ91" t="s">
        <v>74</v>
      </c>
      <c r="AR91" t="s">
        <v>1689</v>
      </c>
      <c r="AS91" t="s">
        <v>910</v>
      </c>
      <c r="AT91" t="s">
        <v>1184</v>
      </c>
      <c r="AU91">
        <v>2007</v>
      </c>
      <c r="AV91">
        <v>88</v>
      </c>
      <c r="AW91">
        <v>8</v>
      </c>
      <c r="AX91" t="s">
        <v>74</v>
      </c>
      <c r="AY91" t="s">
        <v>74</v>
      </c>
      <c r="AZ91" t="s">
        <v>74</v>
      </c>
      <c r="BA91" t="s">
        <v>74</v>
      </c>
      <c r="BB91">
        <v>1924</v>
      </c>
      <c r="BC91">
        <v>1931</v>
      </c>
      <c r="BD91" t="s">
        <v>74</v>
      </c>
      <c r="BE91" t="s">
        <v>1701</v>
      </c>
      <c r="BF91" t="str">
        <f>HYPERLINK("http://dx.doi.org/10.1890/06-1564.1","http://dx.doi.org/10.1890/06-1564.1")</f>
        <v>http://dx.doi.org/10.1890/06-1564.1</v>
      </c>
      <c r="BG91" t="s">
        <v>74</v>
      </c>
      <c r="BH91" t="s">
        <v>74</v>
      </c>
      <c r="BI91">
        <v>8</v>
      </c>
      <c r="BJ91" t="s">
        <v>910</v>
      </c>
      <c r="BK91" t="s">
        <v>98</v>
      </c>
      <c r="BL91" t="s">
        <v>911</v>
      </c>
      <c r="BM91" t="s">
        <v>1702</v>
      </c>
      <c r="BN91">
        <v>17824422</v>
      </c>
      <c r="BO91" t="s">
        <v>74</v>
      </c>
      <c r="BP91" t="s">
        <v>74</v>
      </c>
      <c r="BQ91" t="s">
        <v>74</v>
      </c>
      <c r="BR91" t="s">
        <v>101</v>
      </c>
      <c r="BS91" t="s">
        <v>1703</v>
      </c>
      <c r="BT91" t="str">
        <f>HYPERLINK("https%3A%2F%2Fwww.webofscience.com%2Fwos%2Fwoscc%2Ffull-record%2FWOS:000248620500009","View Full Record in Web of Science")</f>
        <v>View Full Record in Web of Science</v>
      </c>
    </row>
    <row r="92" spans="1:72" x14ac:dyDescent="0.15">
      <c r="A92" t="s">
        <v>72</v>
      </c>
      <c r="B92" t="s">
        <v>1704</v>
      </c>
      <c r="C92" t="s">
        <v>74</v>
      </c>
      <c r="D92" t="s">
        <v>74</v>
      </c>
      <c r="E92" t="s">
        <v>74</v>
      </c>
      <c r="F92" t="s">
        <v>1705</v>
      </c>
      <c r="G92" t="s">
        <v>74</v>
      </c>
      <c r="H92" t="s">
        <v>74</v>
      </c>
      <c r="I92" t="s">
        <v>1706</v>
      </c>
      <c r="J92" t="s">
        <v>1707</v>
      </c>
      <c r="K92" t="s">
        <v>74</v>
      </c>
      <c r="L92" t="s">
        <v>74</v>
      </c>
      <c r="M92" t="s">
        <v>78</v>
      </c>
      <c r="N92" t="s">
        <v>79</v>
      </c>
      <c r="O92" t="s">
        <v>74</v>
      </c>
      <c r="P92" t="s">
        <v>74</v>
      </c>
      <c r="Q92" t="s">
        <v>74</v>
      </c>
      <c r="R92" t="s">
        <v>74</v>
      </c>
      <c r="S92" t="s">
        <v>74</v>
      </c>
      <c r="T92" t="s">
        <v>1708</v>
      </c>
      <c r="U92" t="s">
        <v>1709</v>
      </c>
      <c r="V92" t="s">
        <v>1710</v>
      </c>
      <c r="W92" t="s">
        <v>1711</v>
      </c>
      <c r="X92" t="s">
        <v>1712</v>
      </c>
      <c r="Y92" t="s">
        <v>1713</v>
      </c>
      <c r="Z92" t="s">
        <v>1714</v>
      </c>
      <c r="AA92" t="s">
        <v>74</v>
      </c>
      <c r="AB92" t="s">
        <v>74</v>
      </c>
      <c r="AC92" t="s">
        <v>74</v>
      </c>
      <c r="AD92" t="s">
        <v>74</v>
      </c>
      <c r="AE92" t="s">
        <v>74</v>
      </c>
      <c r="AF92" t="s">
        <v>74</v>
      </c>
      <c r="AG92">
        <v>37</v>
      </c>
      <c r="AH92">
        <v>120</v>
      </c>
      <c r="AI92">
        <v>139</v>
      </c>
      <c r="AJ92">
        <v>0</v>
      </c>
      <c r="AK92">
        <v>51</v>
      </c>
      <c r="AL92" t="s">
        <v>1715</v>
      </c>
      <c r="AM92" t="s">
        <v>1504</v>
      </c>
      <c r="AN92" t="s">
        <v>1716</v>
      </c>
      <c r="AO92" t="s">
        <v>1717</v>
      </c>
      <c r="AP92" t="s">
        <v>1718</v>
      </c>
      <c r="AQ92" t="s">
        <v>74</v>
      </c>
      <c r="AR92" t="s">
        <v>1719</v>
      </c>
      <c r="AS92" t="s">
        <v>1720</v>
      </c>
      <c r="AT92" t="s">
        <v>1184</v>
      </c>
      <c r="AU92">
        <v>2007</v>
      </c>
      <c r="AV92">
        <v>61</v>
      </c>
      <c r="AW92">
        <v>2</v>
      </c>
      <c r="AX92" t="s">
        <v>74</v>
      </c>
      <c r="AY92" t="s">
        <v>74</v>
      </c>
      <c r="AZ92" t="s">
        <v>74</v>
      </c>
      <c r="BA92" t="s">
        <v>74</v>
      </c>
      <c r="BB92">
        <v>214</v>
      </c>
      <c r="BC92">
        <v>221</v>
      </c>
      <c r="BD92" t="s">
        <v>74</v>
      </c>
      <c r="BE92" t="s">
        <v>1721</v>
      </c>
      <c r="BF92" t="str">
        <f>HYPERLINK("http://dx.doi.org/10.1111/j.1574-6941.2007.00345.x","http://dx.doi.org/10.1111/j.1574-6941.2007.00345.x")</f>
        <v>http://dx.doi.org/10.1111/j.1574-6941.2007.00345.x</v>
      </c>
      <c r="BG92" t="s">
        <v>74</v>
      </c>
      <c r="BH92" t="s">
        <v>74</v>
      </c>
      <c r="BI92">
        <v>8</v>
      </c>
      <c r="BJ92" t="s">
        <v>1722</v>
      </c>
      <c r="BK92" t="s">
        <v>98</v>
      </c>
      <c r="BL92" t="s">
        <v>1722</v>
      </c>
      <c r="BM92" t="s">
        <v>1723</v>
      </c>
      <c r="BN92">
        <v>17651136</v>
      </c>
      <c r="BO92" t="s">
        <v>74</v>
      </c>
      <c r="BP92" t="s">
        <v>74</v>
      </c>
      <c r="BQ92" t="s">
        <v>74</v>
      </c>
      <c r="BR92" t="s">
        <v>101</v>
      </c>
      <c r="BS92" t="s">
        <v>1724</v>
      </c>
      <c r="BT92" t="str">
        <f>HYPERLINK("https%3A%2F%2Fwww.webofscience.com%2Fwos%2Fwoscc%2Ffull-record%2FWOS:000248800200002","View Full Record in Web of Science")</f>
        <v>View Full Record in Web of Science</v>
      </c>
    </row>
    <row r="93" spans="1:72" x14ac:dyDescent="0.15">
      <c r="A93" t="s">
        <v>72</v>
      </c>
      <c r="B93" t="s">
        <v>1725</v>
      </c>
      <c r="C93" t="s">
        <v>74</v>
      </c>
      <c r="D93" t="s">
        <v>74</v>
      </c>
      <c r="E93" t="s">
        <v>74</v>
      </c>
      <c r="F93" t="s">
        <v>1726</v>
      </c>
      <c r="G93" t="s">
        <v>74</v>
      </c>
      <c r="H93" t="s">
        <v>74</v>
      </c>
      <c r="I93" t="s">
        <v>1727</v>
      </c>
      <c r="J93" t="s">
        <v>1728</v>
      </c>
      <c r="K93" t="s">
        <v>74</v>
      </c>
      <c r="L93" t="s">
        <v>74</v>
      </c>
      <c r="M93" t="s">
        <v>78</v>
      </c>
      <c r="N93" t="s">
        <v>79</v>
      </c>
      <c r="O93" t="s">
        <v>74</v>
      </c>
      <c r="P93" t="s">
        <v>74</v>
      </c>
      <c r="Q93" t="s">
        <v>74</v>
      </c>
      <c r="R93" t="s">
        <v>74</v>
      </c>
      <c r="S93" t="s">
        <v>74</v>
      </c>
      <c r="T93" t="s">
        <v>74</v>
      </c>
      <c r="U93" t="s">
        <v>1729</v>
      </c>
      <c r="V93" t="s">
        <v>1730</v>
      </c>
      <c r="W93" t="s">
        <v>1731</v>
      </c>
      <c r="X93" t="s">
        <v>1732</v>
      </c>
      <c r="Y93" t="s">
        <v>1733</v>
      </c>
      <c r="Z93" t="s">
        <v>1734</v>
      </c>
      <c r="AA93" t="s">
        <v>1735</v>
      </c>
      <c r="AB93" t="s">
        <v>1736</v>
      </c>
      <c r="AC93" t="s">
        <v>1737</v>
      </c>
      <c r="AD93" t="s">
        <v>361</v>
      </c>
      <c r="AE93" t="s">
        <v>74</v>
      </c>
      <c r="AF93" t="s">
        <v>74</v>
      </c>
      <c r="AG93">
        <v>20</v>
      </c>
      <c r="AH93">
        <v>202</v>
      </c>
      <c r="AI93">
        <v>235</v>
      </c>
      <c r="AJ93">
        <v>0</v>
      </c>
      <c r="AK93">
        <v>61</v>
      </c>
      <c r="AL93" t="s">
        <v>1202</v>
      </c>
      <c r="AM93" t="s">
        <v>1203</v>
      </c>
      <c r="AN93" t="s">
        <v>1204</v>
      </c>
      <c r="AO93" t="s">
        <v>1738</v>
      </c>
      <c r="AP93" t="s">
        <v>1739</v>
      </c>
      <c r="AQ93" t="s">
        <v>74</v>
      </c>
      <c r="AR93" t="s">
        <v>1740</v>
      </c>
      <c r="AS93" t="s">
        <v>1741</v>
      </c>
      <c r="AT93" t="s">
        <v>1184</v>
      </c>
      <c r="AU93">
        <v>2007</v>
      </c>
      <c r="AV93">
        <v>5</v>
      </c>
      <c r="AW93">
        <v>6</v>
      </c>
      <c r="AX93" t="s">
        <v>74</v>
      </c>
      <c r="AY93" t="s">
        <v>74</v>
      </c>
      <c r="AZ93" t="s">
        <v>74</v>
      </c>
      <c r="BA93" t="s">
        <v>74</v>
      </c>
      <c r="BB93">
        <v>297</v>
      </c>
      <c r="BC93">
        <v>301</v>
      </c>
      <c r="BD93" t="s">
        <v>74</v>
      </c>
      <c r="BE93" t="s">
        <v>1742</v>
      </c>
      <c r="BF93" t="str">
        <f>HYPERLINK("http://dx.doi.org/10.1890/1540-9295(2007)5[297:TMAMIT]2.0.CO;2","http://dx.doi.org/10.1890/1540-9295(2007)5[297:TMAMIT]2.0.CO;2")</f>
        <v>http://dx.doi.org/10.1890/1540-9295(2007)5[297:TMAMIT]2.0.CO;2</v>
      </c>
      <c r="BG93" t="s">
        <v>74</v>
      </c>
      <c r="BH93" t="s">
        <v>74</v>
      </c>
      <c r="BI93">
        <v>5</v>
      </c>
      <c r="BJ93" t="s">
        <v>1743</v>
      </c>
      <c r="BK93" t="s">
        <v>98</v>
      </c>
      <c r="BL93" t="s">
        <v>911</v>
      </c>
      <c r="BM93" t="s">
        <v>1744</v>
      </c>
      <c r="BN93" t="s">
        <v>74</v>
      </c>
      <c r="BO93" t="s">
        <v>1745</v>
      </c>
      <c r="BP93" t="s">
        <v>74</v>
      </c>
      <c r="BQ93" t="s">
        <v>74</v>
      </c>
      <c r="BR93" t="s">
        <v>101</v>
      </c>
      <c r="BS93" t="s">
        <v>1746</v>
      </c>
      <c r="BT93" t="str">
        <f>HYPERLINK("https%3A%2F%2Fwww.webofscience.com%2Fwos%2Fwoscc%2Ffull-record%2FWOS:000248468500014","View Full Record in Web of Science")</f>
        <v>View Full Record in Web of Science</v>
      </c>
    </row>
    <row r="94" spans="1:72" x14ac:dyDescent="0.15">
      <c r="A94" t="s">
        <v>72</v>
      </c>
      <c r="B94" t="s">
        <v>1747</v>
      </c>
      <c r="C94" t="s">
        <v>74</v>
      </c>
      <c r="D94" t="s">
        <v>74</v>
      </c>
      <c r="E94" t="s">
        <v>74</v>
      </c>
      <c r="F94" t="s">
        <v>1748</v>
      </c>
      <c r="G94" t="s">
        <v>74</v>
      </c>
      <c r="H94" t="s">
        <v>74</v>
      </c>
      <c r="I94" t="s">
        <v>1749</v>
      </c>
      <c r="J94" t="s">
        <v>728</v>
      </c>
      <c r="K94" t="s">
        <v>74</v>
      </c>
      <c r="L94" t="s">
        <v>74</v>
      </c>
      <c r="M94" t="s">
        <v>78</v>
      </c>
      <c r="N94" t="s">
        <v>79</v>
      </c>
      <c r="O94" t="s">
        <v>74</v>
      </c>
      <c r="P94" t="s">
        <v>74</v>
      </c>
      <c r="Q94" t="s">
        <v>74</v>
      </c>
      <c r="R94" t="s">
        <v>74</v>
      </c>
      <c r="S94" t="s">
        <v>74</v>
      </c>
      <c r="T94" t="s">
        <v>1750</v>
      </c>
      <c r="U94" t="s">
        <v>1751</v>
      </c>
      <c r="V94" t="s">
        <v>1752</v>
      </c>
      <c r="W94" t="s">
        <v>1753</v>
      </c>
      <c r="X94" t="s">
        <v>1754</v>
      </c>
      <c r="Y94" t="s">
        <v>1755</v>
      </c>
      <c r="Z94" t="s">
        <v>1756</v>
      </c>
      <c r="AA94" t="s">
        <v>1757</v>
      </c>
      <c r="AB94" t="s">
        <v>1758</v>
      </c>
      <c r="AC94" t="s">
        <v>74</v>
      </c>
      <c r="AD94" t="s">
        <v>74</v>
      </c>
      <c r="AE94" t="s">
        <v>74</v>
      </c>
      <c r="AF94" t="s">
        <v>74</v>
      </c>
      <c r="AG94">
        <v>46</v>
      </c>
      <c r="AH94">
        <v>32</v>
      </c>
      <c r="AI94">
        <v>34</v>
      </c>
      <c r="AJ94">
        <v>1</v>
      </c>
      <c r="AK94">
        <v>15</v>
      </c>
      <c r="AL94" t="s">
        <v>592</v>
      </c>
      <c r="AM94" t="s">
        <v>273</v>
      </c>
      <c r="AN94" t="s">
        <v>593</v>
      </c>
      <c r="AO94" t="s">
        <v>741</v>
      </c>
      <c r="AP94" t="s">
        <v>74</v>
      </c>
      <c r="AQ94" t="s">
        <v>74</v>
      </c>
      <c r="AR94" t="s">
        <v>728</v>
      </c>
      <c r="AS94" t="s">
        <v>742</v>
      </c>
      <c r="AT94" t="s">
        <v>1759</v>
      </c>
      <c r="AU94">
        <v>2007</v>
      </c>
      <c r="AV94">
        <v>397</v>
      </c>
      <c r="AW94" t="s">
        <v>280</v>
      </c>
      <c r="AX94" t="s">
        <v>74</v>
      </c>
      <c r="AY94" t="s">
        <v>74</v>
      </c>
      <c r="AZ94" t="s">
        <v>74</v>
      </c>
      <c r="BA94" t="s">
        <v>74</v>
      </c>
      <c r="BB94">
        <v>1</v>
      </c>
      <c r="BC94">
        <v>11</v>
      </c>
      <c r="BD94" t="s">
        <v>74</v>
      </c>
      <c r="BE94" t="s">
        <v>1760</v>
      </c>
      <c r="BF94" t="str">
        <f>HYPERLINK("http://dx.doi.org/10.1016/j.gene.2007.03.003","http://dx.doi.org/10.1016/j.gene.2007.03.003")</f>
        <v>http://dx.doi.org/10.1016/j.gene.2007.03.003</v>
      </c>
      <c r="BG94" t="s">
        <v>74</v>
      </c>
      <c r="BH94" t="s">
        <v>74</v>
      </c>
      <c r="BI94">
        <v>11</v>
      </c>
      <c r="BJ94" t="s">
        <v>744</v>
      </c>
      <c r="BK94" t="s">
        <v>98</v>
      </c>
      <c r="BL94" t="s">
        <v>744</v>
      </c>
      <c r="BM94" t="s">
        <v>1761</v>
      </c>
      <c r="BN94">
        <v>17570620</v>
      </c>
      <c r="BO94" t="s">
        <v>74</v>
      </c>
      <c r="BP94" t="s">
        <v>74</v>
      </c>
      <c r="BQ94" t="s">
        <v>74</v>
      </c>
      <c r="BR94" t="s">
        <v>101</v>
      </c>
      <c r="BS94" t="s">
        <v>1762</v>
      </c>
      <c r="BT94" t="str">
        <f>HYPERLINK("https%3A%2F%2Fwww.webofscience.com%2Fwos%2Fwoscc%2Ffull-record%2FWOS:000248152800001","View Full Record in Web of Science")</f>
        <v>View Full Record in Web of Science</v>
      </c>
    </row>
    <row r="95" spans="1:72" x14ac:dyDescent="0.15">
      <c r="A95" t="s">
        <v>72</v>
      </c>
      <c r="B95" t="s">
        <v>1763</v>
      </c>
      <c r="C95" t="s">
        <v>74</v>
      </c>
      <c r="D95" t="s">
        <v>74</v>
      </c>
      <c r="E95" t="s">
        <v>74</v>
      </c>
      <c r="F95" t="s">
        <v>1764</v>
      </c>
      <c r="G95" t="s">
        <v>74</v>
      </c>
      <c r="H95" t="s">
        <v>74</v>
      </c>
      <c r="I95" t="s">
        <v>1765</v>
      </c>
      <c r="J95" t="s">
        <v>1766</v>
      </c>
      <c r="K95" t="s">
        <v>74</v>
      </c>
      <c r="L95" t="s">
        <v>74</v>
      </c>
      <c r="M95" t="s">
        <v>78</v>
      </c>
      <c r="N95" t="s">
        <v>52</v>
      </c>
      <c r="O95" t="s">
        <v>1767</v>
      </c>
      <c r="P95" t="s">
        <v>1768</v>
      </c>
      <c r="Q95" t="s">
        <v>1769</v>
      </c>
      <c r="R95" t="s">
        <v>74</v>
      </c>
      <c r="S95" t="s">
        <v>74</v>
      </c>
      <c r="T95" t="s">
        <v>74</v>
      </c>
      <c r="U95" t="s">
        <v>74</v>
      </c>
      <c r="V95" t="s">
        <v>74</v>
      </c>
      <c r="W95" t="s">
        <v>1770</v>
      </c>
      <c r="X95" t="s">
        <v>1771</v>
      </c>
      <c r="Y95" t="s">
        <v>74</v>
      </c>
      <c r="Z95" t="s">
        <v>1772</v>
      </c>
      <c r="AA95" t="s">
        <v>1773</v>
      </c>
      <c r="AB95" t="s">
        <v>1774</v>
      </c>
      <c r="AC95" t="s">
        <v>74</v>
      </c>
      <c r="AD95" t="s">
        <v>74</v>
      </c>
      <c r="AE95" t="s">
        <v>74</v>
      </c>
      <c r="AF95" t="s">
        <v>74</v>
      </c>
      <c r="AG95">
        <v>0</v>
      </c>
      <c r="AH95">
        <v>0</v>
      </c>
      <c r="AI95">
        <v>0</v>
      </c>
      <c r="AJ95">
        <v>0</v>
      </c>
      <c r="AK95">
        <v>1</v>
      </c>
      <c r="AL95" t="s">
        <v>1503</v>
      </c>
      <c r="AM95" t="s">
        <v>1504</v>
      </c>
      <c r="AN95" t="s">
        <v>1505</v>
      </c>
      <c r="AO95" t="s">
        <v>1775</v>
      </c>
      <c r="AP95" t="s">
        <v>74</v>
      </c>
      <c r="AQ95" t="s">
        <v>74</v>
      </c>
      <c r="AR95" t="s">
        <v>1776</v>
      </c>
      <c r="AS95" t="s">
        <v>1777</v>
      </c>
      <c r="AT95" t="s">
        <v>1184</v>
      </c>
      <c r="AU95">
        <v>2007</v>
      </c>
      <c r="AV95">
        <v>71</v>
      </c>
      <c r="AW95">
        <v>15</v>
      </c>
      <c r="AX95" t="s">
        <v>74</v>
      </c>
      <c r="AY95" t="s">
        <v>1778</v>
      </c>
      <c r="AZ95" t="s">
        <v>74</v>
      </c>
      <c r="BA95" t="s">
        <v>74</v>
      </c>
      <c r="BB95" t="s">
        <v>1779</v>
      </c>
      <c r="BC95" t="s">
        <v>1779</v>
      </c>
      <c r="BD95" t="s">
        <v>74</v>
      </c>
      <c r="BE95" t="s">
        <v>74</v>
      </c>
      <c r="BF95" t="s">
        <v>74</v>
      </c>
      <c r="BG95" t="s">
        <v>74</v>
      </c>
      <c r="BH95" t="s">
        <v>74</v>
      </c>
      <c r="BI95">
        <v>1</v>
      </c>
      <c r="BJ95" t="s">
        <v>688</v>
      </c>
      <c r="BK95" t="s">
        <v>745</v>
      </c>
      <c r="BL95" t="s">
        <v>688</v>
      </c>
      <c r="BM95" t="s">
        <v>1780</v>
      </c>
      <c r="BN95" t="s">
        <v>74</v>
      </c>
      <c r="BO95" t="s">
        <v>74</v>
      </c>
      <c r="BP95" t="s">
        <v>74</v>
      </c>
      <c r="BQ95" t="s">
        <v>74</v>
      </c>
      <c r="BR95" t="s">
        <v>101</v>
      </c>
      <c r="BS95" t="s">
        <v>1781</v>
      </c>
      <c r="BT95" t="str">
        <f>HYPERLINK("https%3A%2F%2Fwww.webofscience.com%2Fwos%2Fwoscc%2Ffull-record%2FWOS:000248789900478","View Full Record in Web of Science")</f>
        <v>View Full Record in Web of Science</v>
      </c>
    </row>
    <row r="96" spans="1:72" x14ac:dyDescent="0.15">
      <c r="A96" t="s">
        <v>72</v>
      </c>
      <c r="B96" t="s">
        <v>1782</v>
      </c>
      <c r="C96" t="s">
        <v>74</v>
      </c>
      <c r="D96" t="s">
        <v>74</v>
      </c>
      <c r="E96" t="s">
        <v>74</v>
      </c>
      <c r="F96" t="s">
        <v>1783</v>
      </c>
      <c r="G96" t="s">
        <v>74</v>
      </c>
      <c r="H96" t="s">
        <v>74</v>
      </c>
      <c r="I96" t="s">
        <v>1784</v>
      </c>
      <c r="J96" t="s">
        <v>1766</v>
      </c>
      <c r="K96" t="s">
        <v>74</v>
      </c>
      <c r="L96" t="s">
        <v>74</v>
      </c>
      <c r="M96" t="s">
        <v>78</v>
      </c>
      <c r="N96" t="s">
        <v>52</v>
      </c>
      <c r="O96" t="s">
        <v>1767</v>
      </c>
      <c r="P96" t="s">
        <v>1768</v>
      </c>
      <c r="Q96" t="s">
        <v>1769</v>
      </c>
      <c r="R96" t="s">
        <v>74</v>
      </c>
      <c r="S96" t="s">
        <v>74</v>
      </c>
      <c r="T96" t="s">
        <v>74</v>
      </c>
      <c r="U96" t="s">
        <v>74</v>
      </c>
      <c r="V96" t="s">
        <v>74</v>
      </c>
      <c r="W96" t="s">
        <v>1785</v>
      </c>
      <c r="X96" t="s">
        <v>1786</v>
      </c>
      <c r="Y96" t="s">
        <v>74</v>
      </c>
      <c r="Z96" t="s">
        <v>1787</v>
      </c>
      <c r="AA96" t="s">
        <v>1788</v>
      </c>
      <c r="AB96" t="s">
        <v>1789</v>
      </c>
      <c r="AC96" t="s">
        <v>74</v>
      </c>
      <c r="AD96" t="s">
        <v>74</v>
      </c>
      <c r="AE96" t="s">
        <v>74</v>
      </c>
      <c r="AF96" t="s">
        <v>74</v>
      </c>
      <c r="AG96">
        <v>0</v>
      </c>
      <c r="AH96">
        <v>1</v>
      </c>
      <c r="AI96">
        <v>1</v>
      </c>
      <c r="AJ96">
        <v>0</v>
      </c>
      <c r="AK96">
        <v>2</v>
      </c>
      <c r="AL96" t="s">
        <v>1503</v>
      </c>
      <c r="AM96" t="s">
        <v>1504</v>
      </c>
      <c r="AN96" t="s">
        <v>1505</v>
      </c>
      <c r="AO96" t="s">
        <v>1775</v>
      </c>
      <c r="AP96" t="s">
        <v>1790</v>
      </c>
      <c r="AQ96" t="s">
        <v>74</v>
      </c>
      <c r="AR96" t="s">
        <v>1776</v>
      </c>
      <c r="AS96" t="s">
        <v>1777</v>
      </c>
      <c r="AT96" t="s">
        <v>1184</v>
      </c>
      <c r="AU96">
        <v>2007</v>
      </c>
      <c r="AV96">
        <v>71</v>
      </c>
      <c r="AW96">
        <v>15</v>
      </c>
      <c r="AX96" t="s">
        <v>74</v>
      </c>
      <c r="AY96" t="s">
        <v>1778</v>
      </c>
      <c r="AZ96" t="s">
        <v>74</v>
      </c>
      <c r="BA96" t="s">
        <v>74</v>
      </c>
      <c r="BB96" t="s">
        <v>1791</v>
      </c>
      <c r="BC96" t="s">
        <v>1791</v>
      </c>
      <c r="BD96" t="s">
        <v>74</v>
      </c>
      <c r="BE96" t="s">
        <v>74</v>
      </c>
      <c r="BF96" t="s">
        <v>74</v>
      </c>
      <c r="BG96" t="s">
        <v>74</v>
      </c>
      <c r="BH96" t="s">
        <v>74</v>
      </c>
      <c r="BI96">
        <v>1</v>
      </c>
      <c r="BJ96" t="s">
        <v>688</v>
      </c>
      <c r="BK96" t="s">
        <v>535</v>
      </c>
      <c r="BL96" t="s">
        <v>688</v>
      </c>
      <c r="BM96" t="s">
        <v>1780</v>
      </c>
      <c r="BN96" t="s">
        <v>74</v>
      </c>
      <c r="BO96" t="s">
        <v>74</v>
      </c>
      <c r="BP96" t="s">
        <v>74</v>
      </c>
      <c r="BQ96" t="s">
        <v>74</v>
      </c>
      <c r="BR96" t="s">
        <v>101</v>
      </c>
      <c r="BS96" t="s">
        <v>1792</v>
      </c>
      <c r="BT96" t="str">
        <f>HYPERLINK("https%3A%2F%2Fwww.webofscience.com%2Fwos%2Fwoscc%2Ffull-record%2FWOS:000248789901503","View Full Record in Web of Science")</f>
        <v>View Full Record in Web of Science</v>
      </c>
    </row>
    <row r="97" spans="1:72" x14ac:dyDescent="0.15">
      <c r="A97" t="s">
        <v>72</v>
      </c>
      <c r="B97" t="s">
        <v>1793</v>
      </c>
      <c r="C97" t="s">
        <v>74</v>
      </c>
      <c r="D97" t="s">
        <v>74</v>
      </c>
      <c r="E97" t="s">
        <v>74</v>
      </c>
      <c r="F97" t="s">
        <v>1794</v>
      </c>
      <c r="G97" t="s">
        <v>74</v>
      </c>
      <c r="H97" t="s">
        <v>74</v>
      </c>
      <c r="I97" t="s">
        <v>1795</v>
      </c>
      <c r="J97" t="s">
        <v>1766</v>
      </c>
      <c r="K97" t="s">
        <v>74</v>
      </c>
      <c r="L97" t="s">
        <v>74</v>
      </c>
      <c r="M97" t="s">
        <v>78</v>
      </c>
      <c r="N97" t="s">
        <v>52</v>
      </c>
      <c r="O97" t="s">
        <v>1767</v>
      </c>
      <c r="P97" t="s">
        <v>1768</v>
      </c>
      <c r="Q97" t="s">
        <v>1769</v>
      </c>
      <c r="R97" t="s">
        <v>74</v>
      </c>
      <c r="S97" t="s">
        <v>74</v>
      </c>
      <c r="T97" t="s">
        <v>74</v>
      </c>
      <c r="U97" t="s">
        <v>74</v>
      </c>
      <c r="V97" t="s">
        <v>74</v>
      </c>
      <c r="W97" t="s">
        <v>1796</v>
      </c>
      <c r="X97" t="s">
        <v>1797</v>
      </c>
      <c r="Y97" t="s">
        <v>74</v>
      </c>
      <c r="Z97" t="s">
        <v>74</v>
      </c>
      <c r="AA97" t="s">
        <v>1798</v>
      </c>
      <c r="AB97" t="s">
        <v>74</v>
      </c>
      <c r="AC97" t="s">
        <v>74</v>
      </c>
      <c r="AD97" t="s">
        <v>74</v>
      </c>
      <c r="AE97" t="s">
        <v>74</v>
      </c>
      <c r="AF97" t="s">
        <v>74</v>
      </c>
      <c r="AG97">
        <v>3</v>
      </c>
      <c r="AH97">
        <v>0</v>
      </c>
      <c r="AI97">
        <v>0</v>
      </c>
      <c r="AJ97">
        <v>0</v>
      </c>
      <c r="AK97">
        <v>4</v>
      </c>
      <c r="AL97" t="s">
        <v>1503</v>
      </c>
      <c r="AM97" t="s">
        <v>1504</v>
      </c>
      <c r="AN97" t="s">
        <v>1505</v>
      </c>
      <c r="AO97" t="s">
        <v>1775</v>
      </c>
      <c r="AP97" t="s">
        <v>1790</v>
      </c>
      <c r="AQ97" t="s">
        <v>74</v>
      </c>
      <c r="AR97" t="s">
        <v>1776</v>
      </c>
      <c r="AS97" t="s">
        <v>1777</v>
      </c>
      <c r="AT97" t="s">
        <v>1184</v>
      </c>
      <c r="AU97">
        <v>2007</v>
      </c>
      <c r="AV97">
        <v>71</v>
      </c>
      <c r="AW97">
        <v>15</v>
      </c>
      <c r="AX97" t="s">
        <v>74</v>
      </c>
      <c r="AY97" t="s">
        <v>1778</v>
      </c>
      <c r="AZ97" t="s">
        <v>74</v>
      </c>
      <c r="BA97" t="s">
        <v>74</v>
      </c>
      <c r="BB97" t="s">
        <v>1799</v>
      </c>
      <c r="BC97" t="s">
        <v>1799</v>
      </c>
      <c r="BD97" t="s">
        <v>74</v>
      </c>
      <c r="BE97" t="s">
        <v>74</v>
      </c>
      <c r="BF97" t="s">
        <v>74</v>
      </c>
      <c r="BG97" t="s">
        <v>74</v>
      </c>
      <c r="BH97" t="s">
        <v>74</v>
      </c>
      <c r="BI97">
        <v>1</v>
      </c>
      <c r="BJ97" t="s">
        <v>688</v>
      </c>
      <c r="BK97" t="s">
        <v>535</v>
      </c>
      <c r="BL97" t="s">
        <v>688</v>
      </c>
      <c r="BM97" t="s">
        <v>1780</v>
      </c>
      <c r="BN97" t="s">
        <v>74</v>
      </c>
      <c r="BO97" t="s">
        <v>74</v>
      </c>
      <c r="BP97" t="s">
        <v>74</v>
      </c>
      <c r="BQ97" t="s">
        <v>74</v>
      </c>
      <c r="BR97" t="s">
        <v>101</v>
      </c>
      <c r="BS97" t="s">
        <v>1800</v>
      </c>
      <c r="BT97" t="str">
        <f>HYPERLINK("https%3A%2F%2Fwww.webofscience.com%2Fwos%2Fwoscc%2Ffull-record%2FWOS:000248789901679","View Full Record in Web of Science")</f>
        <v>View Full Record in Web of Science</v>
      </c>
    </row>
    <row r="98" spans="1:72" x14ac:dyDescent="0.15">
      <c r="A98" t="s">
        <v>72</v>
      </c>
      <c r="B98" t="s">
        <v>1801</v>
      </c>
      <c r="C98" t="s">
        <v>74</v>
      </c>
      <c r="D98" t="s">
        <v>74</v>
      </c>
      <c r="E98" t="s">
        <v>74</v>
      </c>
      <c r="F98" t="s">
        <v>1802</v>
      </c>
      <c r="G98" t="s">
        <v>74</v>
      </c>
      <c r="H98" t="s">
        <v>74</v>
      </c>
      <c r="I98" t="s">
        <v>1803</v>
      </c>
      <c r="J98" t="s">
        <v>1766</v>
      </c>
      <c r="K98" t="s">
        <v>74</v>
      </c>
      <c r="L98" t="s">
        <v>74</v>
      </c>
      <c r="M98" t="s">
        <v>78</v>
      </c>
      <c r="N98" t="s">
        <v>52</v>
      </c>
      <c r="O98" t="s">
        <v>1767</v>
      </c>
      <c r="P98" t="s">
        <v>1768</v>
      </c>
      <c r="Q98" t="s">
        <v>1769</v>
      </c>
      <c r="R98" t="s">
        <v>74</v>
      </c>
      <c r="S98" t="s">
        <v>74</v>
      </c>
      <c r="T98" t="s">
        <v>74</v>
      </c>
      <c r="U98" t="s">
        <v>74</v>
      </c>
      <c r="V98" t="s">
        <v>74</v>
      </c>
      <c r="W98" t="s">
        <v>1804</v>
      </c>
      <c r="X98" t="s">
        <v>1805</v>
      </c>
      <c r="Y98" t="s">
        <v>74</v>
      </c>
      <c r="Z98" t="s">
        <v>1806</v>
      </c>
      <c r="AA98" t="s">
        <v>1807</v>
      </c>
      <c r="AB98" t="s">
        <v>1808</v>
      </c>
      <c r="AC98" t="s">
        <v>74</v>
      </c>
      <c r="AD98" t="s">
        <v>74</v>
      </c>
      <c r="AE98" t="s">
        <v>74</v>
      </c>
      <c r="AF98" t="s">
        <v>74</v>
      </c>
      <c r="AG98">
        <v>0</v>
      </c>
      <c r="AH98">
        <v>0</v>
      </c>
      <c r="AI98">
        <v>0</v>
      </c>
      <c r="AJ98">
        <v>0</v>
      </c>
      <c r="AK98">
        <v>1</v>
      </c>
      <c r="AL98" t="s">
        <v>1503</v>
      </c>
      <c r="AM98" t="s">
        <v>1504</v>
      </c>
      <c r="AN98" t="s">
        <v>1505</v>
      </c>
      <c r="AO98" t="s">
        <v>1775</v>
      </c>
      <c r="AP98" t="s">
        <v>1790</v>
      </c>
      <c r="AQ98" t="s">
        <v>74</v>
      </c>
      <c r="AR98" t="s">
        <v>1776</v>
      </c>
      <c r="AS98" t="s">
        <v>1777</v>
      </c>
      <c r="AT98" t="s">
        <v>1184</v>
      </c>
      <c r="AU98">
        <v>2007</v>
      </c>
      <c r="AV98">
        <v>71</v>
      </c>
      <c r="AW98">
        <v>15</v>
      </c>
      <c r="AX98" t="s">
        <v>74</v>
      </c>
      <c r="AY98" t="s">
        <v>1778</v>
      </c>
      <c r="AZ98" t="s">
        <v>74</v>
      </c>
      <c r="BA98" t="s">
        <v>74</v>
      </c>
      <c r="BB98" t="s">
        <v>1809</v>
      </c>
      <c r="BC98" t="s">
        <v>1809</v>
      </c>
      <c r="BD98" t="s">
        <v>74</v>
      </c>
      <c r="BE98" t="s">
        <v>74</v>
      </c>
      <c r="BF98" t="s">
        <v>74</v>
      </c>
      <c r="BG98" t="s">
        <v>74</v>
      </c>
      <c r="BH98" t="s">
        <v>74</v>
      </c>
      <c r="BI98">
        <v>1</v>
      </c>
      <c r="BJ98" t="s">
        <v>688</v>
      </c>
      <c r="BK98" t="s">
        <v>535</v>
      </c>
      <c r="BL98" t="s">
        <v>688</v>
      </c>
      <c r="BM98" t="s">
        <v>1780</v>
      </c>
      <c r="BN98" t="s">
        <v>74</v>
      </c>
      <c r="BO98" t="s">
        <v>74</v>
      </c>
      <c r="BP98" t="s">
        <v>74</v>
      </c>
      <c r="BQ98" t="s">
        <v>74</v>
      </c>
      <c r="BR98" t="s">
        <v>101</v>
      </c>
      <c r="BS98" t="s">
        <v>1810</v>
      </c>
      <c r="BT98" t="str">
        <f>HYPERLINK("https%3A%2F%2Fwww.webofscience.com%2Fwos%2Fwoscc%2Ffull-record%2FWOS:000248789902343","View Full Record in Web of Science")</f>
        <v>View Full Record in Web of Science</v>
      </c>
    </row>
    <row r="99" spans="1:72" x14ac:dyDescent="0.15">
      <c r="A99" t="s">
        <v>72</v>
      </c>
      <c r="B99" t="s">
        <v>1811</v>
      </c>
      <c r="C99" t="s">
        <v>74</v>
      </c>
      <c r="D99" t="s">
        <v>74</v>
      </c>
      <c r="E99" t="s">
        <v>74</v>
      </c>
      <c r="F99" t="s">
        <v>1812</v>
      </c>
      <c r="G99" t="s">
        <v>74</v>
      </c>
      <c r="H99" t="s">
        <v>74</v>
      </c>
      <c r="I99" t="s">
        <v>1813</v>
      </c>
      <c r="J99" t="s">
        <v>1766</v>
      </c>
      <c r="K99" t="s">
        <v>74</v>
      </c>
      <c r="L99" t="s">
        <v>74</v>
      </c>
      <c r="M99" t="s">
        <v>78</v>
      </c>
      <c r="N99" t="s">
        <v>52</v>
      </c>
      <c r="O99" t="s">
        <v>1767</v>
      </c>
      <c r="P99" t="s">
        <v>1768</v>
      </c>
      <c r="Q99" t="s">
        <v>1769</v>
      </c>
      <c r="R99" t="s">
        <v>74</v>
      </c>
      <c r="S99" t="s">
        <v>74</v>
      </c>
      <c r="T99" t="s">
        <v>74</v>
      </c>
      <c r="U99" t="s">
        <v>74</v>
      </c>
      <c r="V99" t="s">
        <v>74</v>
      </c>
      <c r="W99" t="s">
        <v>1814</v>
      </c>
      <c r="X99" t="s">
        <v>1815</v>
      </c>
      <c r="Y99" t="s">
        <v>74</v>
      </c>
      <c r="Z99" t="s">
        <v>1816</v>
      </c>
      <c r="AA99" t="s">
        <v>74</v>
      </c>
      <c r="AB99" t="s">
        <v>74</v>
      </c>
      <c r="AC99" t="s">
        <v>74</v>
      </c>
      <c r="AD99" t="s">
        <v>74</v>
      </c>
      <c r="AE99" t="s">
        <v>74</v>
      </c>
      <c r="AF99" t="s">
        <v>74</v>
      </c>
      <c r="AG99">
        <v>3</v>
      </c>
      <c r="AH99">
        <v>0</v>
      </c>
      <c r="AI99">
        <v>0</v>
      </c>
      <c r="AJ99">
        <v>0</v>
      </c>
      <c r="AK99">
        <v>2</v>
      </c>
      <c r="AL99" t="s">
        <v>1503</v>
      </c>
      <c r="AM99" t="s">
        <v>1504</v>
      </c>
      <c r="AN99" t="s">
        <v>1505</v>
      </c>
      <c r="AO99" t="s">
        <v>1775</v>
      </c>
      <c r="AP99" t="s">
        <v>1790</v>
      </c>
      <c r="AQ99" t="s">
        <v>74</v>
      </c>
      <c r="AR99" t="s">
        <v>1776</v>
      </c>
      <c r="AS99" t="s">
        <v>1777</v>
      </c>
      <c r="AT99" t="s">
        <v>1184</v>
      </c>
      <c r="AU99">
        <v>2007</v>
      </c>
      <c r="AV99">
        <v>71</v>
      </c>
      <c r="AW99">
        <v>15</v>
      </c>
      <c r="AX99" t="s">
        <v>74</v>
      </c>
      <c r="AY99" t="s">
        <v>1778</v>
      </c>
      <c r="AZ99" t="s">
        <v>74</v>
      </c>
      <c r="BA99" t="s">
        <v>74</v>
      </c>
      <c r="BB99" t="s">
        <v>1817</v>
      </c>
      <c r="BC99" t="s">
        <v>1817</v>
      </c>
      <c r="BD99" t="s">
        <v>74</v>
      </c>
      <c r="BE99" t="s">
        <v>74</v>
      </c>
      <c r="BF99" t="s">
        <v>74</v>
      </c>
      <c r="BG99" t="s">
        <v>74</v>
      </c>
      <c r="BH99" t="s">
        <v>74</v>
      </c>
      <c r="BI99">
        <v>1</v>
      </c>
      <c r="BJ99" t="s">
        <v>688</v>
      </c>
      <c r="BK99" t="s">
        <v>535</v>
      </c>
      <c r="BL99" t="s">
        <v>688</v>
      </c>
      <c r="BM99" t="s">
        <v>1780</v>
      </c>
      <c r="BN99" t="s">
        <v>74</v>
      </c>
      <c r="BO99" t="s">
        <v>74</v>
      </c>
      <c r="BP99" t="s">
        <v>74</v>
      </c>
      <c r="BQ99" t="s">
        <v>74</v>
      </c>
      <c r="BR99" t="s">
        <v>101</v>
      </c>
      <c r="BS99" t="s">
        <v>1818</v>
      </c>
      <c r="BT99" t="str">
        <f>HYPERLINK("https%3A%2F%2Fwww.webofscience.com%2Fwos%2Fwoscc%2Ffull-record%2FWOS:000248789902348","View Full Record in Web of Science")</f>
        <v>View Full Record in Web of Science</v>
      </c>
    </row>
    <row r="100" spans="1:72" x14ac:dyDescent="0.15">
      <c r="A100" t="s">
        <v>72</v>
      </c>
      <c r="B100" t="s">
        <v>1819</v>
      </c>
      <c r="C100" t="s">
        <v>74</v>
      </c>
      <c r="D100" t="s">
        <v>74</v>
      </c>
      <c r="E100" t="s">
        <v>74</v>
      </c>
      <c r="F100" t="s">
        <v>1820</v>
      </c>
      <c r="G100" t="s">
        <v>74</v>
      </c>
      <c r="H100" t="s">
        <v>74</v>
      </c>
      <c r="I100" t="s">
        <v>1821</v>
      </c>
      <c r="J100" t="s">
        <v>1766</v>
      </c>
      <c r="K100" t="s">
        <v>74</v>
      </c>
      <c r="L100" t="s">
        <v>74</v>
      </c>
      <c r="M100" t="s">
        <v>78</v>
      </c>
      <c r="N100" t="s">
        <v>52</v>
      </c>
      <c r="O100" t="s">
        <v>1767</v>
      </c>
      <c r="P100" t="s">
        <v>1768</v>
      </c>
      <c r="Q100" t="s">
        <v>1769</v>
      </c>
      <c r="R100" t="s">
        <v>74</v>
      </c>
      <c r="S100" t="s">
        <v>74</v>
      </c>
      <c r="T100" t="s">
        <v>74</v>
      </c>
      <c r="U100" t="s">
        <v>74</v>
      </c>
      <c r="V100" t="s">
        <v>74</v>
      </c>
      <c r="W100" t="s">
        <v>1822</v>
      </c>
      <c r="X100" t="s">
        <v>1823</v>
      </c>
      <c r="Y100" t="s">
        <v>74</v>
      </c>
      <c r="Z100" t="s">
        <v>1824</v>
      </c>
      <c r="AA100" t="s">
        <v>1825</v>
      </c>
      <c r="AB100" t="s">
        <v>1826</v>
      </c>
      <c r="AC100" t="s">
        <v>74</v>
      </c>
      <c r="AD100" t="s">
        <v>74</v>
      </c>
      <c r="AE100" t="s">
        <v>74</v>
      </c>
      <c r="AF100" t="s">
        <v>74</v>
      </c>
      <c r="AG100">
        <v>0</v>
      </c>
      <c r="AH100">
        <v>0</v>
      </c>
      <c r="AI100">
        <v>0</v>
      </c>
      <c r="AJ100">
        <v>0</v>
      </c>
      <c r="AK100">
        <v>1</v>
      </c>
      <c r="AL100" t="s">
        <v>1503</v>
      </c>
      <c r="AM100" t="s">
        <v>1504</v>
      </c>
      <c r="AN100" t="s">
        <v>1505</v>
      </c>
      <c r="AO100" t="s">
        <v>1775</v>
      </c>
      <c r="AP100" t="s">
        <v>1790</v>
      </c>
      <c r="AQ100" t="s">
        <v>74</v>
      </c>
      <c r="AR100" t="s">
        <v>1776</v>
      </c>
      <c r="AS100" t="s">
        <v>1777</v>
      </c>
      <c r="AT100" t="s">
        <v>1184</v>
      </c>
      <c r="AU100">
        <v>2007</v>
      </c>
      <c r="AV100">
        <v>71</v>
      </c>
      <c r="AW100">
        <v>15</v>
      </c>
      <c r="AX100" t="s">
        <v>74</v>
      </c>
      <c r="AY100" t="s">
        <v>1778</v>
      </c>
      <c r="AZ100" t="s">
        <v>74</v>
      </c>
      <c r="BA100" t="s">
        <v>74</v>
      </c>
      <c r="BB100" t="s">
        <v>1827</v>
      </c>
      <c r="BC100" t="s">
        <v>1827</v>
      </c>
      <c r="BD100" t="s">
        <v>74</v>
      </c>
      <c r="BE100" t="s">
        <v>74</v>
      </c>
      <c r="BF100" t="s">
        <v>74</v>
      </c>
      <c r="BG100" t="s">
        <v>74</v>
      </c>
      <c r="BH100" t="s">
        <v>74</v>
      </c>
      <c r="BI100">
        <v>1</v>
      </c>
      <c r="BJ100" t="s">
        <v>688</v>
      </c>
      <c r="BK100" t="s">
        <v>535</v>
      </c>
      <c r="BL100" t="s">
        <v>688</v>
      </c>
      <c r="BM100" t="s">
        <v>1780</v>
      </c>
      <c r="BN100" t="s">
        <v>74</v>
      </c>
      <c r="BO100" t="s">
        <v>74</v>
      </c>
      <c r="BP100" t="s">
        <v>74</v>
      </c>
      <c r="BQ100" t="s">
        <v>74</v>
      </c>
      <c r="BR100" t="s">
        <v>101</v>
      </c>
      <c r="BS100" t="s">
        <v>1828</v>
      </c>
      <c r="BT100" t="str">
        <f>HYPERLINK("https%3A%2F%2Fwww.webofscience.com%2Fwos%2Fwoscc%2Ffull-record%2FWOS:000248789902351","View Full Record in Web of Science")</f>
        <v>View Full Record in Web of Science</v>
      </c>
    </row>
    <row r="101" spans="1:72" x14ac:dyDescent="0.15">
      <c r="A101" t="s">
        <v>72</v>
      </c>
      <c r="B101" t="s">
        <v>1829</v>
      </c>
      <c r="C101" t="s">
        <v>74</v>
      </c>
      <c r="D101" t="s">
        <v>74</v>
      </c>
      <c r="E101" t="s">
        <v>74</v>
      </c>
      <c r="F101" t="s">
        <v>1830</v>
      </c>
      <c r="G101" t="s">
        <v>74</v>
      </c>
      <c r="H101" t="s">
        <v>74</v>
      </c>
      <c r="I101" t="s">
        <v>1831</v>
      </c>
      <c r="J101" t="s">
        <v>1832</v>
      </c>
      <c r="K101" t="s">
        <v>74</v>
      </c>
      <c r="L101" t="s">
        <v>74</v>
      </c>
      <c r="M101" t="s">
        <v>78</v>
      </c>
      <c r="N101" t="s">
        <v>79</v>
      </c>
      <c r="O101" t="s">
        <v>74</v>
      </c>
      <c r="P101" t="s">
        <v>74</v>
      </c>
      <c r="Q101" t="s">
        <v>74</v>
      </c>
      <c r="R101" t="s">
        <v>74</v>
      </c>
      <c r="S101" t="s">
        <v>74</v>
      </c>
      <c r="T101" t="s">
        <v>1833</v>
      </c>
      <c r="U101" t="s">
        <v>1834</v>
      </c>
      <c r="V101" t="s">
        <v>1835</v>
      </c>
      <c r="W101" t="s">
        <v>1836</v>
      </c>
      <c r="X101" t="s">
        <v>1837</v>
      </c>
      <c r="Y101" t="s">
        <v>1838</v>
      </c>
      <c r="Z101" t="s">
        <v>74</v>
      </c>
      <c r="AA101" t="s">
        <v>74</v>
      </c>
      <c r="AB101" t="s">
        <v>1839</v>
      </c>
      <c r="AC101" t="s">
        <v>74</v>
      </c>
      <c r="AD101" t="s">
        <v>74</v>
      </c>
      <c r="AE101" t="s">
        <v>74</v>
      </c>
      <c r="AF101" t="s">
        <v>74</v>
      </c>
      <c r="AG101">
        <v>30</v>
      </c>
      <c r="AH101">
        <v>58</v>
      </c>
      <c r="AI101">
        <v>64</v>
      </c>
      <c r="AJ101">
        <v>0</v>
      </c>
      <c r="AK101">
        <v>10</v>
      </c>
      <c r="AL101" t="s">
        <v>1840</v>
      </c>
      <c r="AM101" t="s">
        <v>1263</v>
      </c>
      <c r="AN101" t="s">
        <v>1841</v>
      </c>
      <c r="AO101" t="s">
        <v>1842</v>
      </c>
      <c r="AP101" t="s">
        <v>1843</v>
      </c>
      <c r="AQ101" t="s">
        <v>74</v>
      </c>
      <c r="AR101" t="s">
        <v>1832</v>
      </c>
      <c r="AS101" t="s">
        <v>152</v>
      </c>
      <c r="AT101" t="s">
        <v>1184</v>
      </c>
      <c r="AU101">
        <v>2007</v>
      </c>
      <c r="AV101">
        <v>35</v>
      </c>
      <c r="AW101">
        <v>8</v>
      </c>
      <c r="AX101" t="s">
        <v>74</v>
      </c>
      <c r="AY101" t="s">
        <v>74</v>
      </c>
      <c r="AZ101" t="s">
        <v>74</v>
      </c>
      <c r="BA101" t="s">
        <v>74</v>
      </c>
      <c r="BB101">
        <v>687</v>
      </c>
      <c r="BC101">
        <v>690</v>
      </c>
      <c r="BD101" t="s">
        <v>74</v>
      </c>
      <c r="BE101" t="s">
        <v>1844</v>
      </c>
      <c r="BF101" t="str">
        <f>HYPERLINK("http://dx.doi.org/10.1130/G23825A.1","http://dx.doi.org/10.1130/G23825A.1")</f>
        <v>http://dx.doi.org/10.1130/G23825A.1</v>
      </c>
      <c r="BG101" t="s">
        <v>74</v>
      </c>
      <c r="BH101" t="s">
        <v>74</v>
      </c>
      <c r="BI101">
        <v>4</v>
      </c>
      <c r="BJ101" t="s">
        <v>152</v>
      </c>
      <c r="BK101" t="s">
        <v>98</v>
      </c>
      <c r="BL101" t="s">
        <v>152</v>
      </c>
      <c r="BM101" t="s">
        <v>1845</v>
      </c>
      <c r="BN101" t="s">
        <v>74</v>
      </c>
      <c r="BO101" t="s">
        <v>74</v>
      </c>
      <c r="BP101" t="s">
        <v>74</v>
      </c>
      <c r="BQ101" t="s">
        <v>74</v>
      </c>
      <c r="BR101" t="s">
        <v>101</v>
      </c>
      <c r="BS101" t="s">
        <v>1846</v>
      </c>
      <c r="BT101" t="str">
        <f>HYPERLINK("https%3A%2F%2Fwww.webofscience.com%2Fwos%2Fwoscc%2Ffull-record%2FWOS:000248430500004","View Full Record in Web of Science")</f>
        <v>View Full Record in Web of Science</v>
      </c>
    </row>
    <row r="102" spans="1:72" x14ac:dyDescent="0.15">
      <c r="A102" t="s">
        <v>72</v>
      </c>
      <c r="B102" t="s">
        <v>1847</v>
      </c>
      <c r="C102" t="s">
        <v>74</v>
      </c>
      <c r="D102" t="s">
        <v>74</v>
      </c>
      <c r="E102" t="s">
        <v>74</v>
      </c>
      <c r="F102" t="s">
        <v>1848</v>
      </c>
      <c r="G102" t="s">
        <v>74</v>
      </c>
      <c r="H102" t="s">
        <v>74</v>
      </c>
      <c r="I102" t="s">
        <v>1849</v>
      </c>
      <c r="J102" t="s">
        <v>1832</v>
      </c>
      <c r="K102" t="s">
        <v>74</v>
      </c>
      <c r="L102" t="s">
        <v>74</v>
      </c>
      <c r="M102" t="s">
        <v>78</v>
      </c>
      <c r="N102" t="s">
        <v>79</v>
      </c>
      <c r="O102" t="s">
        <v>74</v>
      </c>
      <c r="P102" t="s">
        <v>74</v>
      </c>
      <c r="Q102" t="s">
        <v>74</v>
      </c>
      <c r="R102" t="s">
        <v>74</v>
      </c>
      <c r="S102" t="s">
        <v>74</v>
      </c>
      <c r="T102" t="s">
        <v>1850</v>
      </c>
      <c r="U102" t="s">
        <v>1851</v>
      </c>
      <c r="V102" t="s">
        <v>1852</v>
      </c>
      <c r="W102" t="s">
        <v>1853</v>
      </c>
      <c r="X102" t="s">
        <v>1854</v>
      </c>
      <c r="Y102" t="s">
        <v>1855</v>
      </c>
      <c r="Z102" t="s">
        <v>74</v>
      </c>
      <c r="AA102" t="s">
        <v>1856</v>
      </c>
      <c r="AB102" t="s">
        <v>1857</v>
      </c>
      <c r="AC102" t="s">
        <v>74</v>
      </c>
      <c r="AD102" t="s">
        <v>74</v>
      </c>
      <c r="AE102" t="s">
        <v>74</v>
      </c>
      <c r="AF102" t="s">
        <v>74</v>
      </c>
      <c r="AG102">
        <v>41</v>
      </c>
      <c r="AH102">
        <v>96</v>
      </c>
      <c r="AI102">
        <v>112</v>
      </c>
      <c r="AJ102">
        <v>0</v>
      </c>
      <c r="AK102">
        <v>51</v>
      </c>
      <c r="AL102" t="s">
        <v>1840</v>
      </c>
      <c r="AM102" t="s">
        <v>1263</v>
      </c>
      <c r="AN102" t="s">
        <v>1841</v>
      </c>
      <c r="AO102" t="s">
        <v>1842</v>
      </c>
      <c r="AP102" t="s">
        <v>1843</v>
      </c>
      <c r="AQ102" t="s">
        <v>74</v>
      </c>
      <c r="AR102" t="s">
        <v>1832</v>
      </c>
      <c r="AS102" t="s">
        <v>152</v>
      </c>
      <c r="AT102" t="s">
        <v>1184</v>
      </c>
      <c r="AU102">
        <v>2007</v>
      </c>
      <c r="AV102">
        <v>35</v>
      </c>
      <c r="AW102">
        <v>8</v>
      </c>
      <c r="AX102" t="s">
        <v>74</v>
      </c>
      <c r="AY102" t="s">
        <v>74</v>
      </c>
      <c r="AZ102" t="s">
        <v>74</v>
      </c>
      <c r="BA102" t="s">
        <v>74</v>
      </c>
      <c r="BB102">
        <v>691</v>
      </c>
      <c r="BC102">
        <v>694</v>
      </c>
      <c r="BD102" t="s">
        <v>74</v>
      </c>
      <c r="BE102" t="s">
        <v>1858</v>
      </c>
      <c r="BF102" t="str">
        <f>HYPERLINK("http://dx.doi.org/10.1130/G23806A.1","http://dx.doi.org/10.1130/G23806A.1")</f>
        <v>http://dx.doi.org/10.1130/G23806A.1</v>
      </c>
      <c r="BG102" t="s">
        <v>74</v>
      </c>
      <c r="BH102" t="s">
        <v>74</v>
      </c>
      <c r="BI102">
        <v>4</v>
      </c>
      <c r="BJ102" t="s">
        <v>152</v>
      </c>
      <c r="BK102" t="s">
        <v>98</v>
      </c>
      <c r="BL102" t="s">
        <v>152</v>
      </c>
      <c r="BM102" t="s">
        <v>1845</v>
      </c>
      <c r="BN102" t="s">
        <v>74</v>
      </c>
      <c r="BO102" t="s">
        <v>74</v>
      </c>
      <c r="BP102" t="s">
        <v>74</v>
      </c>
      <c r="BQ102" t="s">
        <v>74</v>
      </c>
      <c r="BR102" t="s">
        <v>101</v>
      </c>
      <c r="BS102" t="s">
        <v>1859</v>
      </c>
      <c r="BT102" t="str">
        <f>HYPERLINK("https%3A%2F%2Fwww.webofscience.com%2Fwos%2Fwoscc%2Ffull-record%2FWOS:000248430500005","View Full Record in Web of Science")</f>
        <v>View Full Record in Web of Science</v>
      </c>
    </row>
    <row r="103" spans="1:72" x14ac:dyDescent="0.15">
      <c r="A103" t="s">
        <v>72</v>
      </c>
      <c r="B103" t="s">
        <v>1860</v>
      </c>
      <c r="C103" t="s">
        <v>74</v>
      </c>
      <c r="D103" t="s">
        <v>74</v>
      </c>
      <c r="E103" t="s">
        <v>74</v>
      </c>
      <c r="F103" t="s">
        <v>1861</v>
      </c>
      <c r="G103" t="s">
        <v>74</v>
      </c>
      <c r="H103" t="s">
        <v>74</v>
      </c>
      <c r="I103" t="s">
        <v>1862</v>
      </c>
      <c r="J103" t="s">
        <v>1863</v>
      </c>
      <c r="K103" t="s">
        <v>74</v>
      </c>
      <c r="L103" t="s">
        <v>74</v>
      </c>
      <c r="M103" t="s">
        <v>78</v>
      </c>
      <c r="N103" t="s">
        <v>79</v>
      </c>
      <c r="O103" t="s">
        <v>74</v>
      </c>
      <c r="P103" t="s">
        <v>74</v>
      </c>
      <c r="Q103" t="s">
        <v>74</v>
      </c>
      <c r="R103" t="s">
        <v>74</v>
      </c>
      <c r="S103" t="s">
        <v>74</v>
      </c>
      <c r="T103" t="s">
        <v>74</v>
      </c>
      <c r="U103" t="s">
        <v>1864</v>
      </c>
      <c r="V103" t="s">
        <v>1865</v>
      </c>
      <c r="W103" t="s">
        <v>1866</v>
      </c>
      <c r="X103" t="s">
        <v>1867</v>
      </c>
      <c r="Y103" t="s">
        <v>1868</v>
      </c>
      <c r="Z103" t="s">
        <v>74</v>
      </c>
      <c r="AA103" t="s">
        <v>1869</v>
      </c>
      <c r="AB103" t="s">
        <v>1870</v>
      </c>
      <c r="AC103" t="s">
        <v>74</v>
      </c>
      <c r="AD103" t="s">
        <v>74</v>
      </c>
      <c r="AE103" t="s">
        <v>74</v>
      </c>
      <c r="AF103" t="s">
        <v>74</v>
      </c>
      <c r="AG103">
        <v>23</v>
      </c>
      <c r="AH103">
        <v>7</v>
      </c>
      <c r="AI103">
        <v>7</v>
      </c>
      <c r="AJ103">
        <v>0</v>
      </c>
      <c r="AK103">
        <v>3</v>
      </c>
      <c r="AL103" t="s">
        <v>1677</v>
      </c>
      <c r="AM103" t="s">
        <v>1593</v>
      </c>
      <c r="AN103" t="s">
        <v>1678</v>
      </c>
      <c r="AO103" t="s">
        <v>1871</v>
      </c>
      <c r="AP103" t="s">
        <v>1872</v>
      </c>
      <c r="AQ103" t="s">
        <v>74</v>
      </c>
      <c r="AR103" t="s">
        <v>1873</v>
      </c>
      <c r="AS103" t="s">
        <v>1874</v>
      </c>
      <c r="AT103" t="s">
        <v>1184</v>
      </c>
      <c r="AU103">
        <v>2007</v>
      </c>
      <c r="AV103">
        <v>47</v>
      </c>
      <c r="AW103">
        <v>4</v>
      </c>
      <c r="AX103" t="s">
        <v>74</v>
      </c>
      <c r="AY103" t="s">
        <v>74</v>
      </c>
      <c r="AZ103" t="s">
        <v>74</v>
      </c>
      <c r="BA103" t="s">
        <v>74</v>
      </c>
      <c r="BB103">
        <v>502</v>
      </c>
      <c r="BC103">
        <v>509</v>
      </c>
      <c r="BD103" t="s">
        <v>74</v>
      </c>
      <c r="BE103" t="s">
        <v>1875</v>
      </c>
      <c r="BF103" t="str">
        <f>HYPERLINK("http://dx.doi.org/10.1134/S0016793207040111","http://dx.doi.org/10.1134/S0016793207040111")</f>
        <v>http://dx.doi.org/10.1134/S0016793207040111</v>
      </c>
      <c r="BG103" t="s">
        <v>74</v>
      </c>
      <c r="BH103" t="s">
        <v>74</v>
      </c>
      <c r="BI103">
        <v>8</v>
      </c>
      <c r="BJ103" t="s">
        <v>688</v>
      </c>
      <c r="BK103" t="s">
        <v>98</v>
      </c>
      <c r="BL103" t="s">
        <v>688</v>
      </c>
      <c r="BM103" t="s">
        <v>1876</v>
      </c>
      <c r="BN103" t="s">
        <v>74</v>
      </c>
      <c r="BO103" t="s">
        <v>74</v>
      </c>
      <c r="BP103" t="s">
        <v>74</v>
      </c>
      <c r="BQ103" t="s">
        <v>74</v>
      </c>
      <c r="BR103" t="s">
        <v>101</v>
      </c>
      <c r="BS103" t="s">
        <v>1877</v>
      </c>
      <c r="BT103" t="str">
        <f>HYPERLINK("https%3A%2F%2Fwww.webofscience.com%2Fwos%2Fwoscc%2Ffull-record%2FWOS:000248854100011","View Full Record in Web of Science")</f>
        <v>View Full Record in Web of Science</v>
      </c>
    </row>
    <row r="104" spans="1:72" x14ac:dyDescent="0.15">
      <c r="A104" t="s">
        <v>72</v>
      </c>
      <c r="B104" t="s">
        <v>1878</v>
      </c>
      <c r="C104" t="s">
        <v>74</v>
      </c>
      <c r="D104" t="s">
        <v>74</v>
      </c>
      <c r="E104" t="s">
        <v>74</v>
      </c>
      <c r="F104" t="s">
        <v>1879</v>
      </c>
      <c r="G104" t="s">
        <v>74</v>
      </c>
      <c r="H104" t="s">
        <v>74</v>
      </c>
      <c r="I104" t="s">
        <v>1880</v>
      </c>
      <c r="J104" t="s">
        <v>1881</v>
      </c>
      <c r="K104" t="s">
        <v>74</v>
      </c>
      <c r="L104" t="s">
        <v>74</v>
      </c>
      <c r="M104" t="s">
        <v>78</v>
      </c>
      <c r="N104" t="s">
        <v>79</v>
      </c>
      <c r="O104" t="s">
        <v>74</v>
      </c>
      <c r="P104" t="s">
        <v>74</v>
      </c>
      <c r="Q104" t="s">
        <v>74</v>
      </c>
      <c r="R104" t="s">
        <v>74</v>
      </c>
      <c r="S104" t="s">
        <v>74</v>
      </c>
      <c r="T104" t="s">
        <v>1882</v>
      </c>
      <c r="U104" t="s">
        <v>1883</v>
      </c>
      <c r="V104" t="s">
        <v>1884</v>
      </c>
      <c r="W104" t="s">
        <v>1885</v>
      </c>
      <c r="X104" t="s">
        <v>1886</v>
      </c>
      <c r="Y104" t="s">
        <v>1887</v>
      </c>
      <c r="Z104" t="s">
        <v>74</v>
      </c>
      <c r="AA104" t="s">
        <v>1888</v>
      </c>
      <c r="AB104" t="s">
        <v>1889</v>
      </c>
      <c r="AC104" t="s">
        <v>74</v>
      </c>
      <c r="AD104" t="s">
        <v>74</v>
      </c>
      <c r="AE104" t="s">
        <v>74</v>
      </c>
      <c r="AF104" t="s">
        <v>74</v>
      </c>
      <c r="AG104">
        <v>17</v>
      </c>
      <c r="AH104">
        <v>64</v>
      </c>
      <c r="AI104">
        <v>70</v>
      </c>
      <c r="AJ104">
        <v>0</v>
      </c>
      <c r="AK104">
        <v>9</v>
      </c>
      <c r="AL104" t="s">
        <v>1890</v>
      </c>
      <c r="AM104" t="s">
        <v>1891</v>
      </c>
      <c r="AN104" t="s">
        <v>1892</v>
      </c>
      <c r="AO104" t="s">
        <v>1893</v>
      </c>
      <c r="AP104" t="s">
        <v>1894</v>
      </c>
      <c r="AQ104" t="s">
        <v>74</v>
      </c>
      <c r="AR104" t="s">
        <v>1895</v>
      </c>
      <c r="AS104" t="s">
        <v>1896</v>
      </c>
      <c r="AT104" t="s">
        <v>1184</v>
      </c>
      <c r="AU104">
        <v>2007</v>
      </c>
      <c r="AV104">
        <v>45</v>
      </c>
      <c r="AW104">
        <v>8</v>
      </c>
      <c r="AX104" t="s">
        <v>74</v>
      </c>
      <c r="AY104" t="s">
        <v>74</v>
      </c>
      <c r="AZ104" t="s">
        <v>74</v>
      </c>
      <c r="BA104" t="s">
        <v>74</v>
      </c>
      <c r="BB104">
        <v>2573</v>
      </c>
      <c r="BC104">
        <v>2582</v>
      </c>
      <c r="BD104" t="s">
        <v>74</v>
      </c>
      <c r="BE104" t="s">
        <v>1897</v>
      </c>
      <c r="BF104" t="str">
        <f>HYPERLINK("http://dx.doi.org/10.1109/TGRS.2007.897433","http://dx.doi.org/10.1109/TGRS.2007.897433")</f>
        <v>http://dx.doi.org/10.1109/TGRS.2007.897433</v>
      </c>
      <c r="BG104" t="s">
        <v>74</v>
      </c>
      <c r="BH104" t="s">
        <v>74</v>
      </c>
      <c r="BI104">
        <v>10</v>
      </c>
      <c r="BJ104" t="s">
        <v>1898</v>
      </c>
      <c r="BK104" t="s">
        <v>98</v>
      </c>
      <c r="BL104" t="s">
        <v>1899</v>
      </c>
      <c r="BM104" t="s">
        <v>1900</v>
      </c>
      <c r="BN104" t="s">
        <v>74</v>
      </c>
      <c r="BO104" t="s">
        <v>74</v>
      </c>
      <c r="BP104" t="s">
        <v>74</v>
      </c>
      <c r="BQ104" t="s">
        <v>74</v>
      </c>
      <c r="BR104" t="s">
        <v>101</v>
      </c>
      <c r="BS104" t="s">
        <v>1901</v>
      </c>
      <c r="BT104" t="str">
        <f>HYPERLINK("https%3A%2F%2Fwww.webofscience.com%2Fwos%2Fwoscc%2Ffull-record%2FWOS:000248419100018","View Full Record in Web of Science")</f>
        <v>View Full Record in Web of Science</v>
      </c>
    </row>
    <row r="105" spans="1:72" x14ac:dyDescent="0.15">
      <c r="A105" t="s">
        <v>72</v>
      </c>
      <c r="B105" t="s">
        <v>1902</v>
      </c>
      <c r="C105" t="s">
        <v>74</v>
      </c>
      <c r="D105" t="s">
        <v>74</v>
      </c>
      <c r="E105" t="s">
        <v>74</v>
      </c>
      <c r="F105" t="s">
        <v>1903</v>
      </c>
      <c r="G105" t="s">
        <v>74</v>
      </c>
      <c r="H105" t="s">
        <v>74</v>
      </c>
      <c r="I105" t="s">
        <v>1904</v>
      </c>
      <c r="J105" t="s">
        <v>1905</v>
      </c>
      <c r="K105" t="s">
        <v>74</v>
      </c>
      <c r="L105" t="s">
        <v>74</v>
      </c>
      <c r="M105" t="s">
        <v>78</v>
      </c>
      <c r="N105" t="s">
        <v>79</v>
      </c>
      <c r="O105" t="s">
        <v>74</v>
      </c>
      <c r="P105" t="s">
        <v>74</v>
      </c>
      <c r="Q105" t="s">
        <v>74</v>
      </c>
      <c r="R105" t="s">
        <v>74</v>
      </c>
      <c r="S105" t="s">
        <v>74</v>
      </c>
      <c r="T105" t="s">
        <v>1906</v>
      </c>
      <c r="U105" t="s">
        <v>1907</v>
      </c>
      <c r="V105" t="s">
        <v>1908</v>
      </c>
      <c r="W105" t="s">
        <v>1909</v>
      </c>
      <c r="X105" t="s">
        <v>1910</v>
      </c>
      <c r="Y105" t="s">
        <v>1911</v>
      </c>
      <c r="Z105" t="s">
        <v>1912</v>
      </c>
      <c r="AA105" t="s">
        <v>1913</v>
      </c>
      <c r="AB105" t="s">
        <v>74</v>
      </c>
      <c r="AC105" t="s">
        <v>74</v>
      </c>
      <c r="AD105" t="s">
        <v>74</v>
      </c>
      <c r="AE105" t="s">
        <v>74</v>
      </c>
      <c r="AF105" t="s">
        <v>74</v>
      </c>
      <c r="AG105">
        <v>24</v>
      </c>
      <c r="AH105">
        <v>8</v>
      </c>
      <c r="AI105">
        <v>12</v>
      </c>
      <c r="AJ105">
        <v>0</v>
      </c>
      <c r="AK105">
        <v>3</v>
      </c>
      <c r="AL105" t="s">
        <v>592</v>
      </c>
      <c r="AM105" t="s">
        <v>273</v>
      </c>
      <c r="AN105" t="s">
        <v>593</v>
      </c>
      <c r="AO105" t="s">
        <v>1914</v>
      </c>
      <c r="AP105" t="s">
        <v>74</v>
      </c>
      <c r="AQ105" t="s">
        <v>74</v>
      </c>
      <c r="AR105" t="s">
        <v>1915</v>
      </c>
      <c r="AS105" t="s">
        <v>1916</v>
      </c>
      <c r="AT105" t="s">
        <v>1759</v>
      </c>
      <c r="AU105">
        <v>2007</v>
      </c>
      <c r="AV105">
        <v>41</v>
      </c>
      <c r="AW105">
        <v>3</v>
      </c>
      <c r="AX105" t="s">
        <v>74</v>
      </c>
      <c r="AY105" t="s">
        <v>74</v>
      </c>
      <c r="AZ105" t="s">
        <v>74</v>
      </c>
      <c r="BA105" t="s">
        <v>74</v>
      </c>
      <c r="BB105">
        <v>308</v>
      </c>
      <c r="BC105">
        <v>313</v>
      </c>
      <c r="BD105" t="s">
        <v>74</v>
      </c>
      <c r="BE105" t="s">
        <v>1917</v>
      </c>
      <c r="BF105" t="str">
        <f>HYPERLINK("http://dx.doi.org/10.1016/j.ijbiomac.2007.03.010","http://dx.doi.org/10.1016/j.ijbiomac.2007.03.010")</f>
        <v>http://dx.doi.org/10.1016/j.ijbiomac.2007.03.010</v>
      </c>
      <c r="BG105" t="s">
        <v>74</v>
      </c>
      <c r="BH105" t="s">
        <v>74</v>
      </c>
      <c r="BI105">
        <v>6</v>
      </c>
      <c r="BJ105" t="s">
        <v>1918</v>
      </c>
      <c r="BK105" t="s">
        <v>98</v>
      </c>
      <c r="BL105" t="s">
        <v>1919</v>
      </c>
      <c r="BM105" t="s">
        <v>1920</v>
      </c>
      <c r="BN105">
        <v>17531314</v>
      </c>
      <c r="BO105" t="s">
        <v>74</v>
      </c>
      <c r="BP105" t="s">
        <v>74</v>
      </c>
      <c r="BQ105" t="s">
        <v>74</v>
      </c>
      <c r="BR105" t="s">
        <v>101</v>
      </c>
      <c r="BS105" t="s">
        <v>1921</v>
      </c>
      <c r="BT105" t="str">
        <f>HYPERLINK("https%3A%2F%2Fwww.webofscience.com%2Fwos%2Fwoscc%2Ffull-record%2FWOS:000248355400013","View Full Record in Web of Science")</f>
        <v>View Full Record in Web of Science</v>
      </c>
    </row>
    <row r="106" spans="1:72" x14ac:dyDescent="0.15">
      <c r="A106" t="s">
        <v>72</v>
      </c>
      <c r="B106" t="s">
        <v>1922</v>
      </c>
      <c r="C106" t="s">
        <v>74</v>
      </c>
      <c r="D106" t="s">
        <v>74</v>
      </c>
      <c r="E106" t="s">
        <v>74</v>
      </c>
      <c r="F106" t="s">
        <v>1923</v>
      </c>
      <c r="G106" t="s">
        <v>74</v>
      </c>
      <c r="H106" t="s">
        <v>74</v>
      </c>
      <c r="I106" t="s">
        <v>1924</v>
      </c>
      <c r="J106" t="s">
        <v>1925</v>
      </c>
      <c r="K106" t="s">
        <v>74</v>
      </c>
      <c r="L106" t="s">
        <v>74</v>
      </c>
      <c r="M106" t="s">
        <v>78</v>
      </c>
      <c r="N106" t="s">
        <v>79</v>
      </c>
      <c r="O106" t="s">
        <v>74</v>
      </c>
      <c r="P106" t="s">
        <v>74</v>
      </c>
      <c r="Q106" t="s">
        <v>74</v>
      </c>
      <c r="R106" t="s">
        <v>74</v>
      </c>
      <c r="S106" t="s">
        <v>74</v>
      </c>
      <c r="T106" t="s">
        <v>74</v>
      </c>
      <c r="U106" t="s">
        <v>1926</v>
      </c>
      <c r="V106" t="s">
        <v>1927</v>
      </c>
      <c r="W106" t="s">
        <v>1928</v>
      </c>
      <c r="X106" t="s">
        <v>1929</v>
      </c>
      <c r="Y106" t="s">
        <v>1930</v>
      </c>
      <c r="Z106" t="s">
        <v>1931</v>
      </c>
      <c r="AA106" t="s">
        <v>1932</v>
      </c>
      <c r="AB106" t="s">
        <v>74</v>
      </c>
      <c r="AC106" t="s">
        <v>74</v>
      </c>
      <c r="AD106" t="s">
        <v>74</v>
      </c>
      <c r="AE106" t="s">
        <v>74</v>
      </c>
      <c r="AF106" t="s">
        <v>74</v>
      </c>
      <c r="AG106">
        <v>6</v>
      </c>
      <c r="AH106">
        <v>2</v>
      </c>
      <c r="AI106">
        <v>2</v>
      </c>
      <c r="AJ106">
        <v>0</v>
      </c>
      <c r="AK106">
        <v>4</v>
      </c>
      <c r="AL106" t="s">
        <v>1677</v>
      </c>
      <c r="AM106" t="s">
        <v>1593</v>
      </c>
      <c r="AN106" t="s">
        <v>1678</v>
      </c>
      <c r="AO106" t="s">
        <v>1933</v>
      </c>
      <c r="AP106" t="s">
        <v>1934</v>
      </c>
      <c r="AQ106" t="s">
        <v>74</v>
      </c>
      <c r="AR106" t="s">
        <v>1935</v>
      </c>
      <c r="AS106" t="s">
        <v>1936</v>
      </c>
      <c r="AT106" t="s">
        <v>1184</v>
      </c>
      <c r="AU106">
        <v>2007</v>
      </c>
      <c r="AV106">
        <v>43</v>
      </c>
      <c r="AW106">
        <v>4</v>
      </c>
      <c r="AX106" t="s">
        <v>74</v>
      </c>
      <c r="AY106" t="s">
        <v>74</v>
      </c>
      <c r="AZ106" t="s">
        <v>74</v>
      </c>
      <c r="BA106" t="s">
        <v>74</v>
      </c>
      <c r="BB106">
        <v>490</v>
      </c>
      <c r="BC106">
        <v>496</v>
      </c>
      <c r="BD106" t="s">
        <v>74</v>
      </c>
      <c r="BE106" t="s">
        <v>1937</v>
      </c>
      <c r="BF106" t="str">
        <f>HYPERLINK("http://dx.doi.org/10.1134/S000143380704010X","http://dx.doi.org/10.1134/S000143380704010X")</f>
        <v>http://dx.doi.org/10.1134/S000143380704010X</v>
      </c>
      <c r="BG106" t="s">
        <v>74</v>
      </c>
      <c r="BH106" t="s">
        <v>74</v>
      </c>
      <c r="BI106">
        <v>7</v>
      </c>
      <c r="BJ106" t="s">
        <v>1938</v>
      </c>
      <c r="BK106" t="s">
        <v>98</v>
      </c>
      <c r="BL106" t="s">
        <v>1938</v>
      </c>
      <c r="BM106" t="s">
        <v>1939</v>
      </c>
      <c r="BN106" t="s">
        <v>74</v>
      </c>
      <c r="BO106" t="s">
        <v>74</v>
      </c>
      <c r="BP106" t="s">
        <v>74</v>
      </c>
      <c r="BQ106" t="s">
        <v>74</v>
      </c>
      <c r="BR106" t="s">
        <v>101</v>
      </c>
      <c r="BS106" t="s">
        <v>1940</v>
      </c>
      <c r="BT106" t="str">
        <f>HYPERLINK("https%3A%2F%2Fwww.webofscience.com%2Fwos%2Fwoscc%2Ffull-record%2FWOS:000249260300010","View Full Record in Web of Science")</f>
        <v>View Full Record in Web of Science</v>
      </c>
    </row>
    <row r="107" spans="1:72" x14ac:dyDescent="0.15">
      <c r="A107" t="s">
        <v>72</v>
      </c>
      <c r="B107" t="s">
        <v>1941</v>
      </c>
      <c r="C107" t="s">
        <v>74</v>
      </c>
      <c r="D107" t="s">
        <v>74</v>
      </c>
      <c r="E107" t="s">
        <v>74</v>
      </c>
      <c r="F107" t="s">
        <v>1942</v>
      </c>
      <c r="G107" t="s">
        <v>74</v>
      </c>
      <c r="H107" t="s">
        <v>74</v>
      </c>
      <c r="I107" t="s">
        <v>1943</v>
      </c>
      <c r="J107" t="s">
        <v>1944</v>
      </c>
      <c r="K107" t="s">
        <v>74</v>
      </c>
      <c r="L107" t="s">
        <v>74</v>
      </c>
      <c r="M107" t="s">
        <v>78</v>
      </c>
      <c r="N107" t="s">
        <v>79</v>
      </c>
      <c r="O107" t="s">
        <v>74</v>
      </c>
      <c r="P107" t="s">
        <v>74</v>
      </c>
      <c r="Q107" t="s">
        <v>74</v>
      </c>
      <c r="R107" t="s">
        <v>74</v>
      </c>
      <c r="S107" t="s">
        <v>74</v>
      </c>
      <c r="T107" t="s">
        <v>74</v>
      </c>
      <c r="U107" t="s">
        <v>1945</v>
      </c>
      <c r="V107" t="s">
        <v>1946</v>
      </c>
      <c r="W107" t="s">
        <v>1947</v>
      </c>
      <c r="X107" t="s">
        <v>1948</v>
      </c>
      <c r="Y107" t="s">
        <v>1949</v>
      </c>
      <c r="Z107" t="s">
        <v>1950</v>
      </c>
      <c r="AA107" t="s">
        <v>74</v>
      </c>
      <c r="AB107" t="s">
        <v>74</v>
      </c>
      <c r="AC107" t="s">
        <v>74</v>
      </c>
      <c r="AD107" t="s">
        <v>74</v>
      </c>
      <c r="AE107" t="s">
        <v>74</v>
      </c>
      <c r="AF107" t="s">
        <v>74</v>
      </c>
      <c r="AG107">
        <v>44</v>
      </c>
      <c r="AH107">
        <v>19</v>
      </c>
      <c r="AI107">
        <v>22</v>
      </c>
      <c r="AJ107">
        <v>0</v>
      </c>
      <c r="AK107">
        <v>7</v>
      </c>
      <c r="AL107" t="s">
        <v>1715</v>
      </c>
      <c r="AM107" t="s">
        <v>1504</v>
      </c>
      <c r="AN107" t="s">
        <v>1716</v>
      </c>
      <c r="AO107" t="s">
        <v>1951</v>
      </c>
      <c r="AP107" t="s">
        <v>1952</v>
      </c>
      <c r="AQ107" t="s">
        <v>74</v>
      </c>
      <c r="AR107" t="s">
        <v>1953</v>
      </c>
      <c r="AS107" t="s">
        <v>1954</v>
      </c>
      <c r="AT107" t="s">
        <v>1184</v>
      </c>
      <c r="AU107">
        <v>2007</v>
      </c>
      <c r="AV107">
        <v>27</v>
      </c>
      <c r="AW107">
        <v>3</v>
      </c>
      <c r="AX107" t="s">
        <v>74</v>
      </c>
      <c r="AY107" t="s">
        <v>74</v>
      </c>
      <c r="AZ107" t="s">
        <v>74</v>
      </c>
      <c r="BA107" t="s">
        <v>74</v>
      </c>
      <c r="BB107">
        <v>463</v>
      </c>
      <c r="BC107">
        <v>476</v>
      </c>
      <c r="BD107" t="s">
        <v>74</v>
      </c>
      <c r="BE107" t="s">
        <v>1955</v>
      </c>
      <c r="BF107" t="str">
        <f>HYPERLINK("http://dx.doi.org/10.1651/S-2777.1","http://dx.doi.org/10.1651/S-2777.1")</f>
        <v>http://dx.doi.org/10.1651/S-2777.1</v>
      </c>
      <c r="BG107" t="s">
        <v>74</v>
      </c>
      <c r="BH107" t="s">
        <v>74</v>
      </c>
      <c r="BI107">
        <v>14</v>
      </c>
      <c r="BJ107" t="s">
        <v>1956</v>
      </c>
      <c r="BK107" t="s">
        <v>98</v>
      </c>
      <c r="BL107" t="s">
        <v>1956</v>
      </c>
      <c r="BM107" t="s">
        <v>1957</v>
      </c>
      <c r="BN107" t="s">
        <v>74</v>
      </c>
      <c r="BO107" t="s">
        <v>797</v>
      </c>
      <c r="BP107" t="s">
        <v>74</v>
      </c>
      <c r="BQ107" t="s">
        <v>74</v>
      </c>
      <c r="BR107" t="s">
        <v>101</v>
      </c>
      <c r="BS107" t="s">
        <v>1958</v>
      </c>
      <c r="BT107" t="str">
        <f>HYPERLINK("https%3A%2F%2Fwww.webofscience.com%2Fwos%2Fwoscc%2Ffull-record%2FWOS:000248512600010","View Full Record in Web of Science")</f>
        <v>View Full Record in Web of Science</v>
      </c>
    </row>
    <row r="108" spans="1:72" x14ac:dyDescent="0.15">
      <c r="A108" t="s">
        <v>72</v>
      </c>
      <c r="B108" t="s">
        <v>1959</v>
      </c>
      <c r="C108" t="s">
        <v>74</v>
      </c>
      <c r="D108" t="s">
        <v>74</v>
      </c>
      <c r="E108" t="s">
        <v>74</v>
      </c>
      <c r="F108" t="s">
        <v>1960</v>
      </c>
      <c r="G108" t="s">
        <v>74</v>
      </c>
      <c r="H108" t="s">
        <v>74</v>
      </c>
      <c r="I108" t="s">
        <v>1961</v>
      </c>
      <c r="J108" t="s">
        <v>1962</v>
      </c>
      <c r="K108" t="s">
        <v>74</v>
      </c>
      <c r="L108" t="s">
        <v>74</v>
      </c>
      <c r="M108" t="s">
        <v>78</v>
      </c>
      <c r="N108" t="s">
        <v>79</v>
      </c>
      <c r="O108" t="s">
        <v>74</v>
      </c>
      <c r="P108" t="s">
        <v>74</v>
      </c>
      <c r="Q108" t="s">
        <v>74</v>
      </c>
      <c r="R108" t="s">
        <v>74</v>
      </c>
      <c r="S108" t="s">
        <v>74</v>
      </c>
      <c r="T108" t="s">
        <v>74</v>
      </c>
      <c r="U108" t="s">
        <v>1963</v>
      </c>
      <c r="V108" t="s">
        <v>1964</v>
      </c>
      <c r="W108" t="s">
        <v>1965</v>
      </c>
      <c r="X108" t="s">
        <v>1966</v>
      </c>
      <c r="Y108" t="s">
        <v>1967</v>
      </c>
      <c r="Z108" t="s">
        <v>1968</v>
      </c>
      <c r="AA108" t="s">
        <v>1969</v>
      </c>
      <c r="AB108" t="s">
        <v>1970</v>
      </c>
      <c r="AC108" t="s">
        <v>74</v>
      </c>
      <c r="AD108" t="s">
        <v>74</v>
      </c>
      <c r="AE108" t="s">
        <v>74</v>
      </c>
      <c r="AF108" t="s">
        <v>74</v>
      </c>
      <c r="AG108">
        <v>20</v>
      </c>
      <c r="AH108">
        <v>61</v>
      </c>
      <c r="AI108">
        <v>65</v>
      </c>
      <c r="AJ108">
        <v>3</v>
      </c>
      <c r="AK108">
        <v>47</v>
      </c>
      <c r="AL108" t="s">
        <v>1971</v>
      </c>
      <c r="AM108" t="s">
        <v>788</v>
      </c>
      <c r="AN108" t="s">
        <v>1972</v>
      </c>
      <c r="AO108" t="s">
        <v>1973</v>
      </c>
      <c r="AP108" t="s">
        <v>74</v>
      </c>
      <c r="AQ108" t="s">
        <v>74</v>
      </c>
      <c r="AR108" t="s">
        <v>1974</v>
      </c>
      <c r="AS108" t="s">
        <v>1975</v>
      </c>
      <c r="AT108" t="s">
        <v>1184</v>
      </c>
      <c r="AU108">
        <v>2007</v>
      </c>
      <c r="AV108">
        <v>9</v>
      </c>
      <c r="AW108">
        <v>8</v>
      </c>
      <c r="AX108" t="s">
        <v>74</v>
      </c>
      <c r="AY108" t="s">
        <v>74</v>
      </c>
      <c r="AZ108" t="s">
        <v>74</v>
      </c>
      <c r="BA108" t="s">
        <v>74</v>
      </c>
      <c r="BB108">
        <v>822</v>
      </c>
      <c r="BC108">
        <v>825</v>
      </c>
      <c r="BD108" t="s">
        <v>74</v>
      </c>
      <c r="BE108" t="s">
        <v>1976</v>
      </c>
      <c r="BF108" t="str">
        <f>HYPERLINK("http://dx.doi.org/10.1039/b708103k","http://dx.doi.org/10.1039/b708103k")</f>
        <v>http://dx.doi.org/10.1039/b708103k</v>
      </c>
      <c r="BG108" t="s">
        <v>74</v>
      </c>
      <c r="BH108" t="s">
        <v>74</v>
      </c>
      <c r="BI108">
        <v>4</v>
      </c>
      <c r="BJ108" t="s">
        <v>1977</v>
      </c>
      <c r="BK108" t="s">
        <v>98</v>
      </c>
      <c r="BL108" t="s">
        <v>1978</v>
      </c>
      <c r="BM108" t="s">
        <v>1979</v>
      </c>
      <c r="BN108">
        <v>17671662</v>
      </c>
      <c r="BO108" t="s">
        <v>74</v>
      </c>
      <c r="BP108" t="s">
        <v>74</v>
      </c>
      <c r="BQ108" t="s">
        <v>74</v>
      </c>
      <c r="BR108" t="s">
        <v>101</v>
      </c>
      <c r="BS108" t="s">
        <v>1980</v>
      </c>
      <c r="BT108" t="str">
        <f>HYPERLINK("https%3A%2F%2Fwww.webofscience.com%2Fwos%2Fwoscc%2Ffull-record%2FWOS:000249165500013","View Full Record in Web of Science")</f>
        <v>View Full Record in Web of Science</v>
      </c>
    </row>
    <row r="109" spans="1:72" x14ac:dyDescent="0.15">
      <c r="A109" t="s">
        <v>72</v>
      </c>
      <c r="B109" t="s">
        <v>1981</v>
      </c>
      <c r="C109" t="s">
        <v>74</v>
      </c>
      <c r="D109" t="s">
        <v>74</v>
      </c>
      <c r="E109" t="s">
        <v>74</v>
      </c>
      <c r="F109" t="s">
        <v>1982</v>
      </c>
      <c r="G109" t="s">
        <v>74</v>
      </c>
      <c r="H109" t="s">
        <v>74</v>
      </c>
      <c r="I109" t="s">
        <v>1983</v>
      </c>
      <c r="J109" t="s">
        <v>779</v>
      </c>
      <c r="K109" t="s">
        <v>74</v>
      </c>
      <c r="L109" t="s">
        <v>74</v>
      </c>
      <c r="M109" t="s">
        <v>78</v>
      </c>
      <c r="N109" t="s">
        <v>79</v>
      </c>
      <c r="O109" t="s">
        <v>74</v>
      </c>
      <c r="P109" t="s">
        <v>74</v>
      </c>
      <c r="Q109" t="s">
        <v>74</v>
      </c>
      <c r="R109" t="s">
        <v>74</v>
      </c>
      <c r="S109" t="s">
        <v>74</v>
      </c>
      <c r="T109" t="s">
        <v>1984</v>
      </c>
      <c r="U109" t="s">
        <v>1985</v>
      </c>
      <c r="V109" t="s">
        <v>1986</v>
      </c>
      <c r="W109" t="s">
        <v>1987</v>
      </c>
      <c r="X109" t="s">
        <v>1988</v>
      </c>
      <c r="Y109" t="s">
        <v>1989</v>
      </c>
      <c r="Z109" t="s">
        <v>1990</v>
      </c>
      <c r="AA109" t="s">
        <v>74</v>
      </c>
      <c r="AB109" t="s">
        <v>1991</v>
      </c>
      <c r="AC109" t="s">
        <v>1992</v>
      </c>
      <c r="AD109" t="s">
        <v>140</v>
      </c>
      <c r="AE109" t="s">
        <v>74</v>
      </c>
      <c r="AF109" t="s">
        <v>74</v>
      </c>
      <c r="AG109">
        <v>64</v>
      </c>
      <c r="AH109">
        <v>36</v>
      </c>
      <c r="AI109">
        <v>41</v>
      </c>
      <c r="AJ109">
        <v>0</v>
      </c>
      <c r="AK109">
        <v>15</v>
      </c>
      <c r="AL109" t="s">
        <v>1993</v>
      </c>
      <c r="AM109" t="s">
        <v>788</v>
      </c>
      <c r="AN109" t="s">
        <v>1994</v>
      </c>
      <c r="AO109" t="s">
        <v>790</v>
      </c>
      <c r="AP109" t="s">
        <v>1995</v>
      </c>
      <c r="AQ109" t="s">
        <v>74</v>
      </c>
      <c r="AR109" t="s">
        <v>791</v>
      </c>
      <c r="AS109" t="s">
        <v>792</v>
      </c>
      <c r="AT109" t="s">
        <v>1759</v>
      </c>
      <c r="AU109">
        <v>2007</v>
      </c>
      <c r="AV109">
        <v>210</v>
      </c>
      <c r="AW109">
        <v>15</v>
      </c>
      <c r="AX109" t="s">
        <v>74</v>
      </c>
      <c r="AY109" t="s">
        <v>74</v>
      </c>
      <c r="AZ109" t="s">
        <v>74</v>
      </c>
      <c r="BA109" t="s">
        <v>74</v>
      </c>
      <c r="BB109">
        <v>2691</v>
      </c>
      <c r="BC109">
        <v>2699</v>
      </c>
      <c r="BD109" t="s">
        <v>74</v>
      </c>
      <c r="BE109" t="s">
        <v>1996</v>
      </c>
      <c r="BF109" t="str">
        <f>HYPERLINK("http://dx.doi.org/10.1242/jeb.003715","http://dx.doi.org/10.1242/jeb.003715")</f>
        <v>http://dx.doi.org/10.1242/jeb.003715</v>
      </c>
      <c r="BG109" t="s">
        <v>74</v>
      </c>
      <c r="BH109" t="s">
        <v>74</v>
      </c>
      <c r="BI109">
        <v>9</v>
      </c>
      <c r="BJ109" t="s">
        <v>794</v>
      </c>
      <c r="BK109" t="s">
        <v>98</v>
      </c>
      <c r="BL109" t="s">
        <v>795</v>
      </c>
      <c r="BM109" t="s">
        <v>1997</v>
      </c>
      <c r="BN109">
        <v>17644683</v>
      </c>
      <c r="BO109" t="s">
        <v>154</v>
      </c>
      <c r="BP109" t="s">
        <v>74</v>
      </c>
      <c r="BQ109" t="s">
        <v>74</v>
      </c>
      <c r="BR109" t="s">
        <v>101</v>
      </c>
      <c r="BS109" t="s">
        <v>1998</v>
      </c>
      <c r="BT109" t="str">
        <f>HYPERLINK("https%3A%2F%2Fwww.webofscience.com%2Fwos%2Fwoscc%2Ffull-record%2FWOS:000249116000020","View Full Record in Web of Science")</f>
        <v>View Full Record in Web of Science</v>
      </c>
    </row>
    <row r="110" spans="1:72" x14ac:dyDescent="0.15">
      <c r="A110" t="s">
        <v>72</v>
      </c>
      <c r="B110" t="s">
        <v>1999</v>
      </c>
      <c r="C110" t="s">
        <v>74</v>
      </c>
      <c r="D110" t="s">
        <v>74</v>
      </c>
      <c r="E110" t="s">
        <v>74</v>
      </c>
      <c r="F110" t="s">
        <v>2000</v>
      </c>
      <c r="G110" t="s">
        <v>74</v>
      </c>
      <c r="H110" t="s">
        <v>74</v>
      </c>
      <c r="I110" t="s">
        <v>2001</v>
      </c>
      <c r="J110" t="s">
        <v>2002</v>
      </c>
      <c r="K110" t="s">
        <v>74</v>
      </c>
      <c r="L110" t="s">
        <v>74</v>
      </c>
      <c r="M110" t="s">
        <v>78</v>
      </c>
      <c r="N110" t="s">
        <v>79</v>
      </c>
      <c r="O110" t="s">
        <v>74</v>
      </c>
      <c r="P110" t="s">
        <v>74</v>
      </c>
      <c r="Q110" t="s">
        <v>74</v>
      </c>
      <c r="R110" t="s">
        <v>74</v>
      </c>
      <c r="S110" t="s">
        <v>74</v>
      </c>
      <c r="T110" t="s">
        <v>74</v>
      </c>
      <c r="U110" t="s">
        <v>2003</v>
      </c>
      <c r="V110" t="s">
        <v>2004</v>
      </c>
      <c r="W110" t="s">
        <v>2005</v>
      </c>
      <c r="X110" t="s">
        <v>2006</v>
      </c>
      <c r="Y110" t="s">
        <v>2007</v>
      </c>
      <c r="Z110" t="s">
        <v>2008</v>
      </c>
      <c r="AA110" t="s">
        <v>74</v>
      </c>
      <c r="AB110" t="s">
        <v>74</v>
      </c>
      <c r="AC110" t="s">
        <v>74</v>
      </c>
      <c r="AD110" t="s">
        <v>74</v>
      </c>
      <c r="AE110" t="s">
        <v>74</v>
      </c>
      <c r="AF110" t="s">
        <v>74</v>
      </c>
      <c r="AG110">
        <v>44</v>
      </c>
      <c r="AH110">
        <v>54</v>
      </c>
      <c r="AI110">
        <v>58</v>
      </c>
      <c r="AJ110">
        <v>1</v>
      </c>
      <c r="AK110">
        <v>22</v>
      </c>
      <c r="AL110" t="s">
        <v>1202</v>
      </c>
      <c r="AM110" t="s">
        <v>1203</v>
      </c>
      <c r="AN110" t="s">
        <v>1204</v>
      </c>
      <c r="AO110" t="s">
        <v>2009</v>
      </c>
      <c r="AP110" t="s">
        <v>2010</v>
      </c>
      <c r="AQ110" t="s">
        <v>74</v>
      </c>
      <c r="AR110" t="s">
        <v>2011</v>
      </c>
      <c r="AS110" t="s">
        <v>2012</v>
      </c>
      <c r="AT110" t="s">
        <v>1184</v>
      </c>
      <c r="AU110">
        <v>2007</v>
      </c>
      <c r="AV110">
        <v>31</v>
      </c>
      <c r="AW110">
        <v>4</v>
      </c>
      <c r="AX110" t="s">
        <v>74</v>
      </c>
      <c r="AY110" t="s">
        <v>74</v>
      </c>
      <c r="AZ110" t="s">
        <v>74</v>
      </c>
      <c r="BA110" t="s">
        <v>74</v>
      </c>
      <c r="BB110">
        <v>509</v>
      </c>
      <c r="BC110">
        <v>540</v>
      </c>
      <c r="BD110" t="s">
        <v>74</v>
      </c>
      <c r="BE110" t="s">
        <v>2013</v>
      </c>
      <c r="BF110" t="str">
        <f>HYPERLINK("http://dx.doi.org/10.1111/j.1745-4514.2007.00127.x","http://dx.doi.org/10.1111/j.1745-4514.2007.00127.x")</f>
        <v>http://dx.doi.org/10.1111/j.1745-4514.2007.00127.x</v>
      </c>
      <c r="BG110" t="s">
        <v>74</v>
      </c>
      <c r="BH110" t="s">
        <v>74</v>
      </c>
      <c r="BI110">
        <v>32</v>
      </c>
      <c r="BJ110" t="s">
        <v>2014</v>
      </c>
      <c r="BK110" t="s">
        <v>98</v>
      </c>
      <c r="BL110" t="s">
        <v>2014</v>
      </c>
      <c r="BM110" t="s">
        <v>2015</v>
      </c>
      <c r="BN110" t="s">
        <v>74</v>
      </c>
      <c r="BO110" t="s">
        <v>74</v>
      </c>
      <c r="BP110" t="s">
        <v>74</v>
      </c>
      <c r="BQ110" t="s">
        <v>74</v>
      </c>
      <c r="BR110" t="s">
        <v>101</v>
      </c>
      <c r="BS110" t="s">
        <v>2016</v>
      </c>
      <c r="BT110" t="str">
        <f>HYPERLINK("https%3A%2F%2Fwww.webofscience.com%2Fwos%2Fwoscc%2Ffull-record%2FWOS:000247818200005","View Full Record in Web of Science")</f>
        <v>View Full Record in Web of Science</v>
      </c>
    </row>
    <row r="111" spans="1:72" x14ac:dyDescent="0.15">
      <c r="A111" t="s">
        <v>72</v>
      </c>
      <c r="B111" t="s">
        <v>2017</v>
      </c>
      <c r="C111" t="s">
        <v>74</v>
      </c>
      <c r="D111" t="s">
        <v>74</v>
      </c>
      <c r="E111" t="s">
        <v>74</v>
      </c>
      <c r="F111" t="s">
        <v>2018</v>
      </c>
      <c r="G111" t="s">
        <v>74</v>
      </c>
      <c r="H111" t="s">
        <v>74</v>
      </c>
      <c r="I111" t="s">
        <v>2019</v>
      </c>
      <c r="J111" t="s">
        <v>2020</v>
      </c>
      <c r="K111" t="s">
        <v>74</v>
      </c>
      <c r="L111" t="s">
        <v>74</v>
      </c>
      <c r="M111" t="s">
        <v>78</v>
      </c>
      <c r="N111" t="s">
        <v>79</v>
      </c>
      <c r="O111" t="s">
        <v>74</v>
      </c>
      <c r="P111" t="s">
        <v>74</v>
      </c>
      <c r="Q111" t="s">
        <v>74</v>
      </c>
      <c r="R111" t="s">
        <v>74</v>
      </c>
      <c r="S111" t="s">
        <v>74</v>
      </c>
      <c r="T111" t="s">
        <v>2021</v>
      </c>
      <c r="U111" t="s">
        <v>2022</v>
      </c>
      <c r="V111" t="s">
        <v>2023</v>
      </c>
      <c r="W111" t="s">
        <v>2024</v>
      </c>
      <c r="X111" t="s">
        <v>2025</v>
      </c>
      <c r="Y111" t="s">
        <v>2026</v>
      </c>
      <c r="Z111" t="s">
        <v>2027</v>
      </c>
      <c r="AA111" t="s">
        <v>2028</v>
      </c>
      <c r="AB111" t="s">
        <v>2029</v>
      </c>
      <c r="AC111" t="s">
        <v>74</v>
      </c>
      <c r="AD111" t="s">
        <v>74</v>
      </c>
      <c r="AE111" t="s">
        <v>74</v>
      </c>
      <c r="AF111" t="s">
        <v>74</v>
      </c>
      <c r="AG111">
        <v>47</v>
      </c>
      <c r="AH111">
        <v>14</v>
      </c>
      <c r="AI111">
        <v>14</v>
      </c>
      <c r="AJ111">
        <v>0</v>
      </c>
      <c r="AK111">
        <v>5</v>
      </c>
      <c r="AL111" t="s">
        <v>2030</v>
      </c>
      <c r="AM111" t="s">
        <v>2031</v>
      </c>
      <c r="AN111" t="s">
        <v>2032</v>
      </c>
      <c r="AO111" t="s">
        <v>2033</v>
      </c>
      <c r="AP111" t="s">
        <v>2034</v>
      </c>
      <c r="AQ111" t="s">
        <v>74</v>
      </c>
      <c r="AR111" t="s">
        <v>2035</v>
      </c>
      <c r="AS111" t="s">
        <v>2036</v>
      </c>
      <c r="AT111" t="s">
        <v>1184</v>
      </c>
      <c r="AU111">
        <v>2007</v>
      </c>
      <c r="AV111">
        <v>17</v>
      </c>
      <c r="AW111">
        <v>8</v>
      </c>
      <c r="AX111" t="s">
        <v>74</v>
      </c>
      <c r="AY111" t="s">
        <v>74</v>
      </c>
      <c r="AZ111" t="s">
        <v>74</v>
      </c>
      <c r="BA111" t="s">
        <v>74</v>
      </c>
      <c r="BB111">
        <v>1330</v>
      </c>
      <c r="BC111">
        <v>1337</v>
      </c>
      <c r="BD111" t="s">
        <v>74</v>
      </c>
      <c r="BE111" t="s">
        <v>74</v>
      </c>
      <c r="BF111" t="s">
        <v>74</v>
      </c>
      <c r="BG111" t="s">
        <v>74</v>
      </c>
      <c r="BH111" t="s">
        <v>74</v>
      </c>
      <c r="BI111">
        <v>8</v>
      </c>
      <c r="BJ111" t="s">
        <v>1186</v>
      </c>
      <c r="BK111" t="s">
        <v>98</v>
      </c>
      <c r="BL111" t="s">
        <v>1186</v>
      </c>
      <c r="BM111" t="s">
        <v>2037</v>
      </c>
      <c r="BN111">
        <v>18051602</v>
      </c>
      <c r="BO111" t="s">
        <v>74</v>
      </c>
      <c r="BP111" t="s">
        <v>74</v>
      </c>
      <c r="BQ111" t="s">
        <v>74</v>
      </c>
      <c r="BR111" t="s">
        <v>101</v>
      </c>
      <c r="BS111" t="s">
        <v>2038</v>
      </c>
      <c r="BT111" t="str">
        <f>HYPERLINK("https%3A%2F%2Fwww.webofscience.com%2Fwos%2Fwoscc%2Ffull-record%2FWOS:000249111700014","View Full Record in Web of Science")</f>
        <v>View Full Record in Web of Science</v>
      </c>
    </row>
    <row r="112" spans="1:72" x14ac:dyDescent="0.15">
      <c r="A112" t="s">
        <v>72</v>
      </c>
      <c r="B112" t="s">
        <v>2039</v>
      </c>
      <c r="C112" t="s">
        <v>74</v>
      </c>
      <c r="D112" t="s">
        <v>74</v>
      </c>
      <c r="E112" t="s">
        <v>74</v>
      </c>
      <c r="F112" t="s">
        <v>2040</v>
      </c>
      <c r="G112" t="s">
        <v>74</v>
      </c>
      <c r="H112" t="s">
        <v>74</v>
      </c>
      <c r="I112" t="s">
        <v>2041</v>
      </c>
      <c r="J112" t="s">
        <v>2042</v>
      </c>
      <c r="K112" t="s">
        <v>74</v>
      </c>
      <c r="L112" t="s">
        <v>74</v>
      </c>
      <c r="M112" t="s">
        <v>78</v>
      </c>
      <c r="N112" t="s">
        <v>79</v>
      </c>
      <c r="O112" t="s">
        <v>74</v>
      </c>
      <c r="P112" t="s">
        <v>74</v>
      </c>
      <c r="Q112" t="s">
        <v>74</v>
      </c>
      <c r="R112" t="s">
        <v>74</v>
      </c>
      <c r="S112" t="s">
        <v>74</v>
      </c>
      <c r="T112" t="s">
        <v>2043</v>
      </c>
      <c r="U112" t="s">
        <v>2044</v>
      </c>
      <c r="V112" t="s">
        <v>2045</v>
      </c>
      <c r="W112" t="s">
        <v>2046</v>
      </c>
      <c r="X112" t="s">
        <v>2047</v>
      </c>
      <c r="Y112" t="s">
        <v>2048</v>
      </c>
      <c r="Z112" t="s">
        <v>2049</v>
      </c>
      <c r="AA112" t="s">
        <v>2050</v>
      </c>
      <c r="AB112" t="s">
        <v>2051</v>
      </c>
      <c r="AC112" t="s">
        <v>74</v>
      </c>
      <c r="AD112" t="s">
        <v>74</v>
      </c>
      <c r="AE112" t="s">
        <v>74</v>
      </c>
      <c r="AF112" t="s">
        <v>74</v>
      </c>
      <c r="AG112">
        <v>81</v>
      </c>
      <c r="AH112">
        <v>48</v>
      </c>
      <c r="AI112">
        <v>52</v>
      </c>
      <c r="AJ112">
        <v>1</v>
      </c>
      <c r="AK112">
        <v>12</v>
      </c>
      <c r="AL112" t="s">
        <v>1592</v>
      </c>
      <c r="AM112" t="s">
        <v>2052</v>
      </c>
      <c r="AN112" t="s">
        <v>2053</v>
      </c>
      <c r="AO112" t="s">
        <v>2054</v>
      </c>
      <c r="AP112" t="s">
        <v>2055</v>
      </c>
      <c r="AQ112" t="s">
        <v>74</v>
      </c>
      <c r="AR112" t="s">
        <v>2056</v>
      </c>
      <c r="AS112" t="s">
        <v>2057</v>
      </c>
      <c r="AT112" t="s">
        <v>1184</v>
      </c>
      <c r="AU112">
        <v>2007</v>
      </c>
      <c r="AV112">
        <v>63</v>
      </c>
      <c r="AW112">
        <v>4</v>
      </c>
      <c r="AX112" t="s">
        <v>74</v>
      </c>
      <c r="AY112" t="s">
        <v>74</v>
      </c>
      <c r="AZ112" t="s">
        <v>74</v>
      </c>
      <c r="BA112" t="s">
        <v>74</v>
      </c>
      <c r="BB112">
        <v>609</v>
      </c>
      <c r="BC112">
        <v>623</v>
      </c>
      <c r="BD112" t="s">
        <v>74</v>
      </c>
      <c r="BE112" t="s">
        <v>2058</v>
      </c>
      <c r="BF112" t="str">
        <f>HYPERLINK("http://dx.doi.org/10.1007/s10872-007-0054-1","http://dx.doi.org/10.1007/s10872-007-0054-1")</f>
        <v>http://dx.doi.org/10.1007/s10872-007-0054-1</v>
      </c>
      <c r="BG112" t="s">
        <v>74</v>
      </c>
      <c r="BH112" t="s">
        <v>74</v>
      </c>
      <c r="BI112">
        <v>15</v>
      </c>
      <c r="BJ112" t="s">
        <v>221</v>
      </c>
      <c r="BK112" t="s">
        <v>98</v>
      </c>
      <c r="BL112" t="s">
        <v>221</v>
      </c>
      <c r="BM112" t="s">
        <v>2059</v>
      </c>
      <c r="BN112" t="s">
        <v>74</v>
      </c>
      <c r="BO112" t="s">
        <v>74</v>
      </c>
      <c r="BP112" t="s">
        <v>74</v>
      </c>
      <c r="BQ112" t="s">
        <v>74</v>
      </c>
      <c r="BR112" t="s">
        <v>101</v>
      </c>
      <c r="BS112" t="s">
        <v>2060</v>
      </c>
      <c r="BT112" t="str">
        <f>HYPERLINK("https%3A%2F%2Fwww.webofscience.com%2Fwos%2Fwoscc%2Ffull-record%2FWOS:000247643100006","View Full Record in Web of Science")</f>
        <v>View Full Record in Web of Science</v>
      </c>
    </row>
    <row r="113" spans="1:72" x14ac:dyDescent="0.15">
      <c r="A113" t="s">
        <v>72</v>
      </c>
      <c r="B113" t="s">
        <v>2061</v>
      </c>
      <c r="C113" t="s">
        <v>74</v>
      </c>
      <c r="D113" t="s">
        <v>74</v>
      </c>
      <c r="E113" t="s">
        <v>74</v>
      </c>
      <c r="F113" t="s">
        <v>2062</v>
      </c>
      <c r="G113" t="s">
        <v>74</v>
      </c>
      <c r="H113" t="s">
        <v>74</v>
      </c>
      <c r="I113" t="s">
        <v>2063</v>
      </c>
      <c r="J113" t="s">
        <v>2064</v>
      </c>
      <c r="K113" t="s">
        <v>74</v>
      </c>
      <c r="L113" t="s">
        <v>74</v>
      </c>
      <c r="M113" t="s">
        <v>78</v>
      </c>
      <c r="N113" t="s">
        <v>79</v>
      </c>
      <c r="O113" t="s">
        <v>74</v>
      </c>
      <c r="P113" t="s">
        <v>74</v>
      </c>
      <c r="Q113" t="s">
        <v>74</v>
      </c>
      <c r="R113" t="s">
        <v>74</v>
      </c>
      <c r="S113" t="s">
        <v>74</v>
      </c>
      <c r="T113" t="s">
        <v>74</v>
      </c>
      <c r="U113" t="s">
        <v>2065</v>
      </c>
      <c r="V113" t="s">
        <v>2066</v>
      </c>
      <c r="W113" t="s">
        <v>2067</v>
      </c>
      <c r="X113" t="s">
        <v>2068</v>
      </c>
      <c r="Y113" t="s">
        <v>2069</v>
      </c>
      <c r="Z113" t="s">
        <v>2070</v>
      </c>
      <c r="AA113" t="s">
        <v>74</v>
      </c>
      <c r="AB113" t="s">
        <v>74</v>
      </c>
      <c r="AC113" t="s">
        <v>74</v>
      </c>
      <c r="AD113" t="s">
        <v>74</v>
      </c>
      <c r="AE113" t="s">
        <v>74</v>
      </c>
      <c r="AF113" t="s">
        <v>74</v>
      </c>
      <c r="AG113">
        <v>26</v>
      </c>
      <c r="AH113">
        <v>10</v>
      </c>
      <c r="AI113">
        <v>12</v>
      </c>
      <c r="AJ113">
        <v>2</v>
      </c>
      <c r="AK113">
        <v>5</v>
      </c>
      <c r="AL113" t="s">
        <v>567</v>
      </c>
      <c r="AM113" t="s">
        <v>568</v>
      </c>
      <c r="AN113" t="s">
        <v>569</v>
      </c>
      <c r="AO113" t="s">
        <v>2071</v>
      </c>
      <c r="AP113" t="s">
        <v>2072</v>
      </c>
      <c r="AQ113" t="s">
        <v>74</v>
      </c>
      <c r="AR113" t="s">
        <v>2073</v>
      </c>
      <c r="AS113" t="s">
        <v>2074</v>
      </c>
      <c r="AT113" t="s">
        <v>1184</v>
      </c>
      <c r="AU113">
        <v>2007</v>
      </c>
      <c r="AV113">
        <v>37</v>
      </c>
      <c r="AW113">
        <v>8</v>
      </c>
      <c r="AX113" t="s">
        <v>74</v>
      </c>
      <c r="AY113" t="s">
        <v>74</v>
      </c>
      <c r="AZ113" t="s">
        <v>74</v>
      </c>
      <c r="BA113" t="s">
        <v>74</v>
      </c>
      <c r="BB113">
        <v>2009</v>
      </c>
      <c r="BC113">
        <v>2021</v>
      </c>
      <c r="BD113" t="s">
        <v>74</v>
      </c>
      <c r="BE113" t="s">
        <v>2075</v>
      </c>
      <c r="BF113" t="str">
        <f>HYPERLINK("http://dx.doi.org/10.1175/JPO3103.1","http://dx.doi.org/10.1175/JPO3103.1")</f>
        <v>http://dx.doi.org/10.1175/JPO3103.1</v>
      </c>
      <c r="BG113" t="s">
        <v>74</v>
      </c>
      <c r="BH113" t="s">
        <v>74</v>
      </c>
      <c r="BI113">
        <v>13</v>
      </c>
      <c r="BJ113" t="s">
        <v>221</v>
      </c>
      <c r="BK113" t="s">
        <v>98</v>
      </c>
      <c r="BL113" t="s">
        <v>221</v>
      </c>
      <c r="BM113" t="s">
        <v>2076</v>
      </c>
      <c r="BN113" t="s">
        <v>74</v>
      </c>
      <c r="BO113" t="s">
        <v>154</v>
      </c>
      <c r="BP113" t="s">
        <v>74</v>
      </c>
      <c r="BQ113" t="s">
        <v>74</v>
      </c>
      <c r="BR113" t="s">
        <v>101</v>
      </c>
      <c r="BS113" t="s">
        <v>2077</v>
      </c>
      <c r="BT113" t="str">
        <f>HYPERLINK("https%3A%2F%2Fwww.webofscience.com%2Fwos%2Fwoscc%2Ffull-record%2FWOS:000249443500002","View Full Record in Web of Science")</f>
        <v>View Full Record in Web of Science</v>
      </c>
    </row>
    <row r="114" spans="1:72" x14ac:dyDescent="0.15">
      <c r="A114" t="s">
        <v>72</v>
      </c>
      <c r="B114" t="s">
        <v>2078</v>
      </c>
      <c r="C114" t="s">
        <v>74</v>
      </c>
      <c r="D114" t="s">
        <v>74</v>
      </c>
      <c r="E114" t="s">
        <v>74</v>
      </c>
      <c r="F114" t="s">
        <v>2079</v>
      </c>
      <c r="G114" t="s">
        <v>74</v>
      </c>
      <c r="H114" t="s">
        <v>74</v>
      </c>
      <c r="I114" t="s">
        <v>2080</v>
      </c>
      <c r="J114" t="s">
        <v>2081</v>
      </c>
      <c r="K114" t="s">
        <v>74</v>
      </c>
      <c r="L114" t="s">
        <v>74</v>
      </c>
      <c r="M114" t="s">
        <v>78</v>
      </c>
      <c r="N114" t="s">
        <v>79</v>
      </c>
      <c r="O114" t="s">
        <v>74</v>
      </c>
      <c r="P114" t="s">
        <v>74</v>
      </c>
      <c r="Q114" t="s">
        <v>74</v>
      </c>
      <c r="R114" t="s">
        <v>74</v>
      </c>
      <c r="S114" t="s">
        <v>74</v>
      </c>
      <c r="T114" t="s">
        <v>74</v>
      </c>
      <c r="U114" t="s">
        <v>2082</v>
      </c>
      <c r="V114" t="s">
        <v>2083</v>
      </c>
      <c r="W114" t="s">
        <v>2084</v>
      </c>
      <c r="X114" t="s">
        <v>2085</v>
      </c>
      <c r="Y114" t="s">
        <v>2086</v>
      </c>
      <c r="Z114" t="s">
        <v>2087</v>
      </c>
      <c r="AA114" t="s">
        <v>74</v>
      </c>
      <c r="AB114" t="s">
        <v>74</v>
      </c>
      <c r="AC114" t="s">
        <v>74</v>
      </c>
      <c r="AD114" t="s">
        <v>74</v>
      </c>
      <c r="AE114" t="s">
        <v>74</v>
      </c>
      <c r="AF114" t="s">
        <v>74</v>
      </c>
      <c r="AG114">
        <v>53</v>
      </c>
      <c r="AH114">
        <v>19</v>
      </c>
      <c r="AI114">
        <v>19</v>
      </c>
      <c r="AJ114">
        <v>0</v>
      </c>
      <c r="AK114">
        <v>12</v>
      </c>
      <c r="AL114" t="s">
        <v>1715</v>
      </c>
      <c r="AM114" t="s">
        <v>1504</v>
      </c>
      <c r="AN114" t="s">
        <v>1716</v>
      </c>
      <c r="AO114" t="s">
        <v>2088</v>
      </c>
      <c r="AP114" t="s">
        <v>2089</v>
      </c>
      <c r="AQ114" t="s">
        <v>74</v>
      </c>
      <c r="AR114" t="s">
        <v>2090</v>
      </c>
      <c r="AS114" t="s">
        <v>2091</v>
      </c>
      <c r="AT114" t="s">
        <v>1184</v>
      </c>
      <c r="AU114">
        <v>2007</v>
      </c>
      <c r="AV114">
        <v>29</v>
      </c>
      <c r="AW114">
        <v>8</v>
      </c>
      <c r="AX114" t="s">
        <v>74</v>
      </c>
      <c r="AY114" t="s">
        <v>74</v>
      </c>
      <c r="AZ114" t="s">
        <v>74</v>
      </c>
      <c r="BA114" t="s">
        <v>74</v>
      </c>
      <c r="BB114">
        <v>655</v>
      </c>
      <c r="BC114">
        <v>670</v>
      </c>
      <c r="BD114" t="s">
        <v>74</v>
      </c>
      <c r="BE114" t="s">
        <v>2092</v>
      </c>
      <c r="BF114" t="str">
        <f>HYPERLINK("http://dx.doi.org/10.1093/plankt/fbm047","http://dx.doi.org/10.1093/plankt/fbm047")</f>
        <v>http://dx.doi.org/10.1093/plankt/fbm047</v>
      </c>
      <c r="BG114" t="s">
        <v>74</v>
      </c>
      <c r="BH114" t="s">
        <v>74</v>
      </c>
      <c r="BI114">
        <v>16</v>
      </c>
      <c r="BJ114" t="s">
        <v>2093</v>
      </c>
      <c r="BK114" t="s">
        <v>98</v>
      </c>
      <c r="BL114" t="s">
        <v>2093</v>
      </c>
      <c r="BM114" t="s">
        <v>2094</v>
      </c>
      <c r="BN114" t="s">
        <v>74</v>
      </c>
      <c r="BO114" t="s">
        <v>2095</v>
      </c>
      <c r="BP114" t="s">
        <v>74</v>
      </c>
      <c r="BQ114" t="s">
        <v>74</v>
      </c>
      <c r="BR114" t="s">
        <v>101</v>
      </c>
      <c r="BS114" t="s">
        <v>2096</v>
      </c>
      <c r="BT114" t="str">
        <f>HYPERLINK("https%3A%2F%2Fwww.webofscience.com%2Fwos%2Fwoscc%2Ffull-record%2FWOS:000248504400001","View Full Record in Web of Science")</f>
        <v>View Full Record in Web of Science</v>
      </c>
    </row>
    <row r="115" spans="1:72" x14ac:dyDescent="0.15">
      <c r="A115" t="s">
        <v>72</v>
      </c>
      <c r="B115" t="s">
        <v>2097</v>
      </c>
      <c r="C115" t="s">
        <v>74</v>
      </c>
      <c r="D115" t="s">
        <v>74</v>
      </c>
      <c r="E115" t="s">
        <v>74</v>
      </c>
      <c r="F115" t="s">
        <v>2098</v>
      </c>
      <c r="G115" t="s">
        <v>74</v>
      </c>
      <c r="H115" t="s">
        <v>74</v>
      </c>
      <c r="I115" t="s">
        <v>2099</v>
      </c>
      <c r="J115" t="s">
        <v>2100</v>
      </c>
      <c r="K115" t="s">
        <v>74</v>
      </c>
      <c r="L115" t="s">
        <v>74</v>
      </c>
      <c r="M115" t="s">
        <v>78</v>
      </c>
      <c r="N115" t="s">
        <v>79</v>
      </c>
      <c r="O115" t="s">
        <v>74</v>
      </c>
      <c r="P115" t="s">
        <v>74</v>
      </c>
      <c r="Q115" t="s">
        <v>74</v>
      </c>
      <c r="R115" t="s">
        <v>74</v>
      </c>
      <c r="S115" t="s">
        <v>74</v>
      </c>
      <c r="T115" t="s">
        <v>74</v>
      </c>
      <c r="U115" t="s">
        <v>2101</v>
      </c>
      <c r="V115" t="s">
        <v>2102</v>
      </c>
      <c r="W115" t="s">
        <v>2067</v>
      </c>
      <c r="X115" t="s">
        <v>2068</v>
      </c>
      <c r="Y115" t="s">
        <v>2103</v>
      </c>
      <c r="Z115" t="s">
        <v>2104</v>
      </c>
      <c r="AA115" t="s">
        <v>2105</v>
      </c>
      <c r="AB115" t="s">
        <v>2106</v>
      </c>
      <c r="AC115" t="s">
        <v>74</v>
      </c>
      <c r="AD115" t="s">
        <v>74</v>
      </c>
      <c r="AE115" t="s">
        <v>74</v>
      </c>
      <c r="AF115" t="s">
        <v>74</v>
      </c>
      <c r="AG115">
        <v>40</v>
      </c>
      <c r="AH115">
        <v>181</v>
      </c>
      <c r="AI115">
        <v>215</v>
      </c>
      <c r="AJ115">
        <v>4</v>
      </c>
      <c r="AK115">
        <v>57</v>
      </c>
      <c r="AL115" t="s">
        <v>2107</v>
      </c>
      <c r="AM115" t="s">
        <v>2108</v>
      </c>
      <c r="AN115" t="s">
        <v>2109</v>
      </c>
      <c r="AO115" t="s">
        <v>2110</v>
      </c>
      <c r="AP115" t="s">
        <v>2111</v>
      </c>
      <c r="AQ115" t="s">
        <v>74</v>
      </c>
      <c r="AR115" t="s">
        <v>2112</v>
      </c>
      <c r="AS115" t="s">
        <v>2113</v>
      </c>
      <c r="AT115" t="s">
        <v>1184</v>
      </c>
      <c r="AU115">
        <v>2007</v>
      </c>
      <c r="AV115">
        <v>122</v>
      </c>
      <c r="AW115">
        <v>2</v>
      </c>
      <c r="AX115" t="s">
        <v>74</v>
      </c>
      <c r="AY115" t="s">
        <v>74</v>
      </c>
      <c r="AZ115" t="s">
        <v>74</v>
      </c>
      <c r="BA115" t="s">
        <v>74</v>
      </c>
      <c r="BB115">
        <v>1208</v>
      </c>
      <c r="BC115">
        <v>1215</v>
      </c>
      <c r="BD115" t="s">
        <v>74</v>
      </c>
      <c r="BE115" t="s">
        <v>2114</v>
      </c>
      <c r="BF115" t="str">
        <f>HYPERLINK("http://dx.doi.org/10.1121/1.2749452","http://dx.doi.org/10.1121/1.2749452")</f>
        <v>http://dx.doi.org/10.1121/1.2749452</v>
      </c>
      <c r="BG115" t="s">
        <v>74</v>
      </c>
      <c r="BH115" t="s">
        <v>74</v>
      </c>
      <c r="BI115">
        <v>8</v>
      </c>
      <c r="BJ115" t="s">
        <v>2115</v>
      </c>
      <c r="BK115" t="s">
        <v>98</v>
      </c>
      <c r="BL115" t="s">
        <v>2115</v>
      </c>
      <c r="BM115" t="s">
        <v>2116</v>
      </c>
      <c r="BN115">
        <v>17672667</v>
      </c>
      <c r="BO115" t="s">
        <v>198</v>
      </c>
      <c r="BP115" t="s">
        <v>74</v>
      </c>
      <c r="BQ115" t="s">
        <v>74</v>
      </c>
      <c r="BR115" t="s">
        <v>101</v>
      </c>
      <c r="BS115" t="s">
        <v>2117</v>
      </c>
      <c r="BT115" t="str">
        <f>HYPERLINK("https%3A%2F%2Fwww.webofscience.com%2Fwos%2Fwoscc%2Ffull-record%2FWOS:000248644100048","View Full Record in Web of Science")</f>
        <v>View Full Record in Web of Science</v>
      </c>
    </row>
    <row r="116" spans="1:72" x14ac:dyDescent="0.15">
      <c r="A116" t="s">
        <v>72</v>
      </c>
      <c r="B116" t="s">
        <v>2118</v>
      </c>
      <c r="C116" t="s">
        <v>74</v>
      </c>
      <c r="D116" t="s">
        <v>74</v>
      </c>
      <c r="E116" t="s">
        <v>74</v>
      </c>
      <c r="F116" t="s">
        <v>2119</v>
      </c>
      <c r="G116" t="s">
        <v>74</v>
      </c>
      <c r="H116" t="s">
        <v>74</v>
      </c>
      <c r="I116" t="s">
        <v>2120</v>
      </c>
      <c r="J116" t="s">
        <v>2121</v>
      </c>
      <c r="K116" t="s">
        <v>74</v>
      </c>
      <c r="L116" t="s">
        <v>74</v>
      </c>
      <c r="M116" t="s">
        <v>78</v>
      </c>
      <c r="N116" t="s">
        <v>79</v>
      </c>
      <c r="O116" t="s">
        <v>74</v>
      </c>
      <c r="P116" t="s">
        <v>74</v>
      </c>
      <c r="Q116" t="s">
        <v>74</v>
      </c>
      <c r="R116" t="s">
        <v>74</v>
      </c>
      <c r="S116" t="s">
        <v>74</v>
      </c>
      <c r="T116" t="s">
        <v>74</v>
      </c>
      <c r="U116" t="s">
        <v>2122</v>
      </c>
      <c r="V116" t="s">
        <v>2123</v>
      </c>
      <c r="W116" t="s">
        <v>2124</v>
      </c>
      <c r="X116" t="s">
        <v>2125</v>
      </c>
      <c r="Y116" t="s">
        <v>2126</v>
      </c>
      <c r="Z116" t="s">
        <v>2127</v>
      </c>
      <c r="AA116" t="s">
        <v>74</v>
      </c>
      <c r="AB116" t="s">
        <v>74</v>
      </c>
      <c r="AC116" t="s">
        <v>2128</v>
      </c>
      <c r="AD116" t="s">
        <v>361</v>
      </c>
      <c r="AE116" t="s">
        <v>74</v>
      </c>
      <c r="AF116" t="s">
        <v>74</v>
      </c>
      <c r="AG116">
        <v>26</v>
      </c>
      <c r="AH116">
        <v>113</v>
      </c>
      <c r="AI116">
        <v>126</v>
      </c>
      <c r="AJ116">
        <v>1</v>
      </c>
      <c r="AK116">
        <v>24</v>
      </c>
      <c r="AL116" t="s">
        <v>567</v>
      </c>
      <c r="AM116" t="s">
        <v>568</v>
      </c>
      <c r="AN116" t="s">
        <v>569</v>
      </c>
      <c r="AO116" t="s">
        <v>2129</v>
      </c>
      <c r="AP116" t="s">
        <v>2130</v>
      </c>
      <c r="AQ116" t="s">
        <v>74</v>
      </c>
      <c r="AR116" t="s">
        <v>2131</v>
      </c>
      <c r="AS116" t="s">
        <v>2132</v>
      </c>
      <c r="AT116" t="s">
        <v>1184</v>
      </c>
      <c r="AU116">
        <v>2007</v>
      </c>
      <c r="AV116">
        <v>64</v>
      </c>
      <c r="AW116">
        <v>8</v>
      </c>
      <c r="AX116" t="s">
        <v>74</v>
      </c>
      <c r="AY116" t="s">
        <v>74</v>
      </c>
      <c r="AZ116" t="s">
        <v>74</v>
      </c>
      <c r="BA116" t="s">
        <v>74</v>
      </c>
      <c r="BB116">
        <v>2881</v>
      </c>
      <c r="BC116">
        <v>2898</v>
      </c>
      <c r="BD116" t="s">
        <v>74</v>
      </c>
      <c r="BE116" t="s">
        <v>2133</v>
      </c>
      <c r="BF116" t="str">
        <f>HYPERLINK("http://dx.doi.org/10.1175/JAS3984.1","http://dx.doi.org/10.1175/JAS3984.1")</f>
        <v>http://dx.doi.org/10.1175/JAS3984.1</v>
      </c>
      <c r="BG116" t="s">
        <v>74</v>
      </c>
      <c r="BH116" t="s">
        <v>74</v>
      </c>
      <c r="BI116">
        <v>18</v>
      </c>
      <c r="BJ116" t="s">
        <v>435</v>
      </c>
      <c r="BK116" t="s">
        <v>98</v>
      </c>
      <c r="BL116" t="s">
        <v>435</v>
      </c>
      <c r="BM116" t="s">
        <v>2134</v>
      </c>
      <c r="BN116" t="s">
        <v>74</v>
      </c>
      <c r="BO116" t="s">
        <v>577</v>
      </c>
      <c r="BP116" t="s">
        <v>74</v>
      </c>
      <c r="BQ116" t="s">
        <v>74</v>
      </c>
      <c r="BR116" t="s">
        <v>101</v>
      </c>
      <c r="BS116" t="s">
        <v>2135</v>
      </c>
      <c r="BT116" t="str">
        <f>HYPERLINK("https%3A%2F%2Fwww.webofscience.com%2Fwos%2Fwoscc%2Ffull-record%2FWOS:000248726900007","View Full Record in Web of Science")</f>
        <v>View Full Record in Web of Science</v>
      </c>
    </row>
    <row r="117" spans="1:72" x14ac:dyDescent="0.15">
      <c r="A117" t="s">
        <v>72</v>
      </c>
      <c r="B117" t="s">
        <v>2136</v>
      </c>
      <c r="C117" t="s">
        <v>74</v>
      </c>
      <c r="D117" t="s">
        <v>74</v>
      </c>
      <c r="E117" t="s">
        <v>74</v>
      </c>
      <c r="F117" t="s">
        <v>2137</v>
      </c>
      <c r="G117" t="s">
        <v>74</v>
      </c>
      <c r="H117" t="s">
        <v>74</v>
      </c>
      <c r="I117" t="s">
        <v>2138</v>
      </c>
      <c r="J117" t="s">
        <v>2139</v>
      </c>
      <c r="K117" t="s">
        <v>74</v>
      </c>
      <c r="L117" t="s">
        <v>74</v>
      </c>
      <c r="M117" t="s">
        <v>78</v>
      </c>
      <c r="N117" t="s">
        <v>79</v>
      </c>
      <c r="O117" t="s">
        <v>74</v>
      </c>
      <c r="P117" t="s">
        <v>74</v>
      </c>
      <c r="Q117" t="s">
        <v>74</v>
      </c>
      <c r="R117" t="s">
        <v>74</v>
      </c>
      <c r="S117" t="s">
        <v>74</v>
      </c>
      <c r="T117" t="s">
        <v>2140</v>
      </c>
      <c r="U117" t="s">
        <v>2141</v>
      </c>
      <c r="V117" t="s">
        <v>2142</v>
      </c>
      <c r="W117" t="s">
        <v>2143</v>
      </c>
      <c r="X117" t="s">
        <v>2144</v>
      </c>
      <c r="Y117" t="s">
        <v>2145</v>
      </c>
      <c r="Z117" t="s">
        <v>2146</v>
      </c>
      <c r="AA117" t="s">
        <v>2147</v>
      </c>
      <c r="AB117" t="s">
        <v>2148</v>
      </c>
      <c r="AC117" t="s">
        <v>74</v>
      </c>
      <c r="AD117" t="s">
        <v>74</v>
      </c>
      <c r="AE117" t="s">
        <v>74</v>
      </c>
      <c r="AF117" t="s">
        <v>74</v>
      </c>
      <c r="AG117">
        <v>36</v>
      </c>
      <c r="AH117">
        <v>26</v>
      </c>
      <c r="AI117">
        <v>33</v>
      </c>
      <c r="AJ117">
        <v>5</v>
      </c>
      <c r="AK117">
        <v>36</v>
      </c>
      <c r="AL117" t="s">
        <v>1202</v>
      </c>
      <c r="AM117" t="s">
        <v>1203</v>
      </c>
      <c r="AN117" t="s">
        <v>1204</v>
      </c>
      <c r="AO117" t="s">
        <v>2149</v>
      </c>
      <c r="AP117" t="s">
        <v>2150</v>
      </c>
      <c r="AQ117" t="s">
        <v>74</v>
      </c>
      <c r="AR117" t="s">
        <v>2151</v>
      </c>
      <c r="AS117" t="s">
        <v>2152</v>
      </c>
      <c r="AT117" t="s">
        <v>1184</v>
      </c>
      <c r="AU117">
        <v>2007</v>
      </c>
      <c r="AV117">
        <v>71</v>
      </c>
      <c r="AW117">
        <v>6</v>
      </c>
      <c r="AX117" t="s">
        <v>74</v>
      </c>
      <c r="AY117" t="s">
        <v>74</v>
      </c>
      <c r="AZ117" t="s">
        <v>74</v>
      </c>
      <c r="BA117" t="s">
        <v>74</v>
      </c>
      <c r="BB117">
        <v>2034</v>
      </c>
      <c r="BC117">
        <v>2044</v>
      </c>
      <c r="BD117" t="s">
        <v>74</v>
      </c>
      <c r="BE117" t="s">
        <v>2153</v>
      </c>
      <c r="BF117" t="str">
        <f>HYPERLINK("http://dx.doi.org/10.2193/2006-258","http://dx.doi.org/10.2193/2006-258")</f>
        <v>http://dx.doi.org/10.2193/2006-258</v>
      </c>
      <c r="BG117" t="s">
        <v>74</v>
      </c>
      <c r="BH117" t="s">
        <v>74</v>
      </c>
      <c r="BI117">
        <v>11</v>
      </c>
      <c r="BJ117" t="s">
        <v>2154</v>
      </c>
      <c r="BK117" t="s">
        <v>98</v>
      </c>
      <c r="BL117" t="s">
        <v>2155</v>
      </c>
      <c r="BM117" t="s">
        <v>2156</v>
      </c>
      <c r="BN117" t="s">
        <v>74</v>
      </c>
      <c r="BO117" t="s">
        <v>74</v>
      </c>
      <c r="BP117" t="s">
        <v>74</v>
      </c>
      <c r="BQ117" t="s">
        <v>74</v>
      </c>
      <c r="BR117" t="s">
        <v>101</v>
      </c>
      <c r="BS117" t="s">
        <v>2157</v>
      </c>
      <c r="BT117" t="str">
        <f>HYPERLINK("https%3A%2F%2Fwww.webofscience.com%2Fwos%2Fwoscc%2Ffull-record%2FWOS:000248655400038","View Full Record in Web of Science")</f>
        <v>View Full Record in Web of Science</v>
      </c>
    </row>
    <row r="118" spans="1:72" x14ac:dyDescent="0.15">
      <c r="A118" t="s">
        <v>72</v>
      </c>
      <c r="B118" t="s">
        <v>2158</v>
      </c>
      <c r="C118" t="s">
        <v>74</v>
      </c>
      <c r="D118" t="s">
        <v>74</v>
      </c>
      <c r="E118" t="s">
        <v>74</v>
      </c>
      <c r="F118" t="s">
        <v>2159</v>
      </c>
      <c r="G118" t="s">
        <v>74</v>
      </c>
      <c r="H118" t="s">
        <v>74</v>
      </c>
      <c r="I118" t="s">
        <v>2160</v>
      </c>
      <c r="J118" t="s">
        <v>2161</v>
      </c>
      <c r="K118" t="s">
        <v>74</v>
      </c>
      <c r="L118" t="s">
        <v>74</v>
      </c>
      <c r="M118" t="s">
        <v>78</v>
      </c>
      <c r="N118" t="s">
        <v>79</v>
      </c>
      <c r="O118" t="s">
        <v>74</v>
      </c>
      <c r="P118" t="s">
        <v>74</v>
      </c>
      <c r="Q118" t="s">
        <v>74</v>
      </c>
      <c r="R118" t="s">
        <v>74</v>
      </c>
      <c r="S118" t="s">
        <v>74</v>
      </c>
      <c r="T118" t="s">
        <v>74</v>
      </c>
      <c r="U118" t="s">
        <v>2162</v>
      </c>
      <c r="V118" t="s">
        <v>2163</v>
      </c>
      <c r="W118" t="s">
        <v>2164</v>
      </c>
      <c r="X118" t="s">
        <v>2165</v>
      </c>
      <c r="Y118" t="s">
        <v>2166</v>
      </c>
      <c r="Z118" t="s">
        <v>2167</v>
      </c>
      <c r="AA118" t="s">
        <v>2168</v>
      </c>
      <c r="AB118" t="s">
        <v>2169</v>
      </c>
      <c r="AC118" t="s">
        <v>480</v>
      </c>
      <c r="AD118" t="s">
        <v>140</v>
      </c>
      <c r="AE118" t="s">
        <v>74</v>
      </c>
      <c r="AF118" t="s">
        <v>74</v>
      </c>
      <c r="AG118">
        <v>43</v>
      </c>
      <c r="AH118">
        <v>47</v>
      </c>
      <c r="AI118">
        <v>52</v>
      </c>
      <c r="AJ118">
        <v>0</v>
      </c>
      <c r="AK118">
        <v>21</v>
      </c>
      <c r="AL118" t="s">
        <v>2170</v>
      </c>
      <c r="AM118" t="s">
        <v>2171</v>
      </c>
      <c r="AN118" t="s">
        <v>2172</v>
      </c>
      <c r="AO118" t="s">
        <v>2173</v>
      </c>
      <c r="AP118" t="s">
        <v>2174</v>
      </c>
      <c r="AQ118" t="s">
        <v>74</v>
      </c>
      <c r="AR118" t="s">
        <v>2175</v>
      </c>
      <c r="AS118" t="s">
        <v>2176</v>
      </c>
      <c r="AT118" t="s">
        <v>1184</v>
      </c>
      <c r="AU118">
        <v>2007</v>
      </c>
      <c r="AV118">
        <v>152</v>
      </c>
      <c r="AW118">
        <v>2</v>
      </c>
      <c r="AX118" t="s">
        <v>74</v>
      </c>
      <c r="AY118" t="s">
        <v>74</v>
      </c>
      <c r="AZ118" t="s">
        <v>74</v>
      </c>
      <c r="BA118" t="s">
        <v>74</v>
      </c>
      <c r="BB118">
        <v>233</v>
      </c>
      <c r="BC118">
        <v>241</v>
      </c>
      <c r="BD118" t="s">
        <v>74</v>
      </c>
      <c r="BE118" t="s">
        <v>2177</v>
      </c>
      <c r="BF118" t="str">
        <f>HYPERLINK("http://dx.doi.org/10.1007/s00227-007-0698-9","http://dx.doi.org/10.1007/s00227-007-0698-9")</f>
        <v>http://dx.doi.org/10.1007/s00227-007-0698-9</v>
      </c>
      <c r="BG118" t="s">
        <v>74</v>
      </c>
      <c r="BH118" t="s">
        <v>74</v>
      </c>
      <c r="BI118">
        <v>9</v>
      </c>
      <c r="BJ118" t="s">
        <v>2178</v>
      </c>
      <c r="BK118" t="s">
        <v>98</v>
      </c>
      <c r="BL118" t="s">
        <v>2178</v>
      </c>
      <c r="BM118" t="s">
        <v>2179</v>
      </c>
      <c r="BN118" t="s">
        <v>74</v>
      </c>
      <c r="BO118" t="s">
        <v>74</v>
      </c>
      <c r="BP118" t="s">
        <v>74</v>
      </c>
      <c r="BQ118" t="s">
        <v>74</v>
      </c>
      <c r="BR118" t="s">
        <v>101</v>
      </c>
      <c r="BS118" t="s">
        <v>2180</v>
      </c>
      <c r="BT118" t="str">
        <f>HYPERLINK("https%3A%2F%2Fwww.webofscience.com%2Fwos%2Fwoscc%2Ffull-record%2FWOS:000248189300002","View Full Record in Web of Science")</f>
        <v>View Full Record in Web of Science</v>
      </c>
    </row>
    <row r="119" spans="1:72" x14ac:dyDescent="0.15">
      <c r="A119" t="s">
        <v>72</v>
      </c>
      <c r="B119" t="s">
        <v>2181</v>
      </c>
      <c r="C119" t="s">
        <v>74</v>
      </c>
      <c r="D119" t="s">
        <v>74</v>
      </c>
      <c r="E119" t="s">
        <v>74</v>
      </c>
      <c r="F119" t="s">
        <v>2182</v>
      </c>
      <c r="G119" t="s">
        <v>74</v>
      </c>
      <c r="H119" t="s">
        <v>74</v>
      </c>
      <c r="I119" t="s">
        <v>2183</v>
      </c>
      <c r="J119" t="s">
        <v>2184</v>
      </c>
      <c r="K119" t="s">
        <v>74</v>
      </c>
      <c r="L119" t="s">
        <v>74</v>
      </c>
      <c r="M119" t="s">
        <v>78</v>
      </c>
      <c r="N119" t="s">
        <v>79</v>
      </c>
      <c r="O119" t="s">
        <v>74</v>
      </c>
      <c r="P119" t="s">
        <v>74</v>
      </c>
      <c r="Q119" t="s">
        <v>74</v>
      </c>
      <c r="R119" t="s">
        <v>74</v>
      </c>
      <c r="S119" t="s">
        <v>74</v>
      </c>
      <c r="T119" t="s">
        <v>2185</v>
      </c>
      <c r="U119" t="s">
        <v>2186</v>
      </c>
      <c r="V119" t="s">
        <v>2187</v>
      </c>
      <c r="W119" t="s">
        <v>2188</v>
      </c>
      <c r="X119" t="s">
        <v>2189</v>
      </c>
      <c r="Y119" t="s">
        <v>2190</v>
      </c>
      <c r="Z119" t="s">
        <v>2191</v>
      </c>
      <c r="AA119" t="s">
        <v>74</v>
      </c>
      <c r="AB119" t="s">
        <v>74</v>
      </c>
      <c r="AC119" t="s">
        <v>74</v>
      </c>
      <c r="AD119" t="s">
        <v>74</v>
      </c>
      <c r="AE119" t="s">
        <v>74</v>
      </c>
      <c r="AF119" t="s">
        <v>74</v>
      </c>
      <c r="AG119">
        <v>55</v>
      </c>
      <c r="AH119">
        <v>36</v>
      </c>
      <c r="AI119">
        <v>42</v>
      </c>
      <c r="AJ119">
        <v>1</v>
      </c>
      <c r="AK119">
        <v>22</v>
      </c>
      <c r="AL119" t="s">
        <v>272</v>
      </c>
      <c r="AM119" t="s">
        <v>273</v>
      </c>
      <c r="AN119" t="s">
        <v>274</v>
      </c>
      <c r="AO119" t="s">
        <v>2192</v>
      </c>
      <c r="AP119" t="s">
        <v>2193</v>
      </c>
      <c r="AQ119" t="s">
        <v>74</v>
      </c>
      <c r="AR119" t="s">
        <v>2194</v>
      </c>
      <c r="AS119" t="s">
        <v>2195</v>
      </c>
      <c r="AT119" t="s">
        <v>1184</v>
      </c>
      <c r="AU119">
        <v>2007</v>
      </c>
      <c r="AV119">
        <v>106</v>
      </c>
      <c r="AW119" t="s">
        <v>686</v>
      </c>
      <c r="AX119" t="s">
        <v>74</v>
      </c>
      <c r="AY119" t="s">
        <v>74</v>
      </c>
      <c r="AZ119" t="s">
        <v>74</v>
      </c>
      <c r="BA119" t="s">
        <v>74</v>
      </c>
      <c r="BB119">
        <v>442</v>
      </c>
      <c r="BC119">
        <v>455</v>
      </c>
      <c r="BD119" t="s">
        <v>74</v>
      </c>
      <c r="BE119" t="s">
        <v>2196</v>
      </c>
      <c r="BF119" t="str">
        <f>HYPERLINK("http://dx.doi.org/10.1016/j.marchem.2007.04.004","http://dx.doi.org/10.1016/j.marchem.2007.04.004")</f>
        <v>http://dx.doi.org/10.1016/j.marchem.2007.04.004</v>
      </c>
      <c r="BG119" t="s">
        <v>74</v>
      </c>
      <c r="BH119" t="s">
        <v>74</v>
      </c>
      <c r="BI119">
        <v>14</v>
      </c>
      <c r="BJ119" t="s">
        <v>2197</v>
      </c>
      <c r="BK119" t="s">
        <v>98</v>
      </c>
      <c r="BL119" t="s">
        <v>2198</v>
      </c>
      <c r="BM119" t="s">
        <v>2199</v>
      </c>
      <c r="BN119" t="s">
        <v>74</v>
      </c>
      <c r="BO119" t="s">
        <v>74</v>
      </c>
      <c r="BP119" t="s">
        <v>74</v>
      </c>
      <c r="BQ119" t="s">
        <v>74</v>
      </c>
      <c r="BR119" t="s">
        <v>101</v>
      </c>
      <c r="BS119" t="s">
        <v>2200</v>
      </c>
      <c r="BT119" t="str">
        <f>HYPERLINK("https%3A%2F%2Fwww.webofscience.com%2Fwos%2Fwoscc%2Ffull-record%2FWOS:000249600600003","View Full Record in Web of Science")</f>
        <v>View Full Record in Web of Science</v>
      </c>
    </row>
    <row r="120" spans="1:72" x14ac:dyDescent="0.15">
      <c r="A120" t="s">
        <v>72</v>
      </c>
      <c r="B120" t="s">
        <v>2201</v>
      </c>
      <c r="C120" t="s">
        <v>74</v>
      </c>
      <c r="D120" t="s">
        <v>74</v>
      </c>
      <c r="E120" t="s">
        <v>74</v>
      </c>
      <c r="F120" t="s">
        <v>2202</v>
      </c>
      <c r="G120" t="s">
        <v>74</v>
      </c>
      <c r="H120" t="s">
        <v>74</v>
      </c>
      <c r="I120" t="s">
        <v>2203</v>
      </c>
      <c r="J120" t="s">
        <v>2184</v>
      </c>
      <c r="K120" t="s">
        <v>74</v>
      </c>
      <c r="L120" t="s">
        <v>74</v>
      </c>
      <c r="M120" t="s">
        <v>78</v>
      </c>
      <c r="N120" t="s">
        <v>79</v>
      </c>
      <c r="O120" t="s">
        <v>74</v>
      </c>
      <c r="P120" t="s">
        <v>74</v>
      </c>
      <c r="Q120" t="s">
        <v>74</v>
      </c>
      <c r="R120" t="s">
        <v>74</v>
      </c>
      <c r="S120" t="s">
        <v>74</v>
      </c>
      <c r="T120" t="s">
        <v>2204</v>
      </c>
      <c r="U120" t="s">
        <v>2205</v>
      </c>
      <c r="V120" t="s">
        <v>2206</v>
      </c>
      <c r="W120" t="s">
        <v>2207</v>
      </c>
      <c r="X120" t="s">
        <v>2208</v>
      </c>
      <c r="Y120" t="s">
        <v>2209</v>
      </c>
      <c r="Z120" t="s">
        <v>2210</v>
      </c>
      <c r="AA120" t="s">
        <v>2211</v>
      </c>
      <c r="AB120" t="s">
        <v>2212</v>
      </c>
      <c r="AC120" t="s">
        <v>74</v>
      </c>
      <c r="AD120" t="s">
        <v>74</v>
      </c>
      <c r="AE120" t="s">
        <v>74</v>
      </c>
      <c r="AF120" t="s">
        <v>74</v>
      </c>
      <c r="AG120">
        <v>53</v>
      </c>
      <c r="AH120">
        <v>79</v>
      </c>
      <c r="AI120">
        <v>90</v>
      </c>
      <c r="AJ120">
        <v>4</v>
      </c>
      <c r="AK120">
        <v>35</v>
      </c>
      <c r="AL120" t="s">
        <v>272</v>
      </c>
      <c r="AM120" t="s">
        <v>273</v>
      </c>
      <c r="AN120" t="s">
        <v>274</v>
      </c>
      <c r="AO120" t="s">
        <v>2192</v>
      </c>
      <c r="AP120" t="s">
        <v>2193</v>
      </c>
      <c r="AQ120" t="s">
        <v>74</v>
      </c>
      <c r="AR120" t="s">
        <v>2194</v>
      </c>
      <c r="AS120" t="s">
        <v>2195</v>
      </c>
      <c r="AT120" t="s">
        <v>1184</v>
      </c>
      <c r="AU120">
        <v>2007</v>
      </c>
      <c r="AV120">
        <v>106</v>
      </c>
      <c r="AW120" t="s">
        <v>686</v>
      </c>
      <c r="AX120" t="s">
        <v>74</v>
      </c>
      <c r="AY120" t="s">
        <v>74</v>
      </c>
      <c r="AZ120" t="s">
        <v>74</v>
      </c>
      <c r="BA120" t="s">
        <v>74</v>
      </c>
      <c r="BB120">
        <v>498</v>
      </c>
      <c r="BC120">
        <v>509</v>
      </c>
      <c r="BD120" t="s">
        <v>74</v>
      </c>
      <c r="BE120" t="s">
        <v>2213</v>
      </c>
      <c r="BF120" t="str">
        <f>HYPERLINK("http://dx.doi.org/10.1016/j.marchem.2007.05.004","http://dx.doi.org/10.1016/j.marchem.2007.05.004")</f>
        <v>http://dx.doi.org/10.1016/j.marchem.2007.05.004</v>
      </c>
      <c r="BG120" t="s">
        <v>74</v>
      </c>
      <c r="BH120" t="s">
        <v>74</v>
      </c>
      <c r="BI120">
        <v>12</v>
      </c>
      <c r="BJ120" t="s">
        <v>2197</v>
      </c>
      <c r="BK120" t="s">
        <v>98</v>
      </c>
      <c r="BL120" t="s">
        <v>2198</v>
      </c>
      <c r="BM120" t="s">
        <v>2199</v>
      </c>
      <c r="BN120" t="s">
        <v>74</v>
      </c>
      <c r="BO120" t="s">
        <v>74</v>
      </c>
      <c r="BP120" t="s">
        <v>74</v>
      </c>
      <c r="BQ120" t="s">
        <v>74</v>
      </c>
      <c r="BR120" t="s">
        <v>101</v>
      </c>
      <c r="BS120" t="s">
        <v>2214</v>
      </c>
      <c r="BT120" t="str">
        <f>HYPERLINK("https%3A%2F%2Fwww.webofscience.com%2Fwos%2Fwoscc%2Ffull-record%2FWOS:000249600600008","View Full Record in Web of Science")</f>
        <v>View Full Record in Web of Science</v>
      </c>
    </row>
    <row r="121" spans="1:72" x14ac:dyDescent="0.15">
      <c r="A121" t="s">
        <v>72</v>
      </c>
      <c r="B121" t="s">
        <v>2215</v>
      </c>
      <c r="C121" t="s">
        <v>74</v>
      </c>
      <c r="D121" t="s">
        <v>74</v>
      </c>
      <c r="E121" t="s">
        <v>74</v>
      </c>
      <c r="F121" t="s">
        <v>2215</v>
      </c>
      <c r="G121" t="s">
        <v>74</v>
      </c>
      <c r="H121" t="s">
        <v>74</v>
      </c>
      <c r="I121" t="s">
        <v>2216</v>
      </c>
      <c r="J121" t="s">
        <v>2217</v>
      </c>
      <c r="K121" t="s">
        <v>74</v>
      </c>
      <c r="L121" t="s">
        <v>74</v>
      </c>
      <c r="M121" t="s">
        <v>78</v>
      </c>
      <c r="N121" t="s">
        <v>229</v>
      </c>
      <c r="O121" t="s">
        <v>74</v>
      </c>
      <c r="P121" t="s">
        <v>74</v>
      </c>
      <c r="Q121" t="s">
        <v>74</v>
      </c>
      <c r="R121" t="s">
        <v>74</v>
      </c>
      <c r="S121" t="s">
        <v>74</v>
      </c>
      <c r="T121" t="s">
        <v>74</v>
      </c>
      <c r="U121" t="s">
        <v>74</v>
      </c>
      <c r="V121" t="s">
        <v>74</v>
      </c>
      <c r="W121" t="s">
        <v>74</v>
      </c>
      <c r="X121" t="s">
        <v>74</v>
      </c>
      <c r="Y121" t="s">
        <v>74</v>
      </c>
      <c r="Z121" t="s">
        <v>74</v>
      </c>
      <c r="AA121" t="s">
        <v>74</v>
      </c>
      <c r="AB121" t="s">
        <v>74</v>
      </c>
      <c r="AC121" t="s">
        <v>74</v>
      </c>
      <c r="AD121" t="s">
        <v>74</v>
      </c>
      <c r="AE121" t="s">
        <v>74</v>
      </c>
      <c r="AF121" t="s">
        <v>74</v>
      </c>
      <c r="AG121">
        <v>0</v>
      </c>
      <c r="AH121">
        <v>0</v>
      </c>
      <c r="AI121">
        <v>0</v>
      </c>
      <c r="AJ121">
        <v>0</v>
      </c>
      <c r="AK121">
        <v>0</v>
      </c>
      <c r="AL121" t="s">
        <v>1503</v>
      </c>
      <c r="AM121" t="s">
        <v>1504</v>
      </c>
      <c r="AN121" t="s">
        <v>1505</v>
      </c>
      <c r="AO121" t="s">
        <v>2218</v>
      </c>
      <c r="AP121" t="s">
        <v>2219</v>
      </c>
      <c r="AQ121" t="s">
        <v>74</v>
      </c>
      <c r="AR121" t="s">
        <v>2220</v>
      </c>
      <c r="AS121" t="s">
        <v>2221</v>
      </c>
      <c r="AT121" t="s">
        <v>1184</v>
      </c>
      <c r="AU121">
        <v>2007</v>
      </c>
      <c r="AV121">
        <v>54</v>
      </c>
      <c r="AW121">
        <v>8</v>
      </c>
      <c r="AX121" t="s">
        <v>74</v>
      </c>
      <c r="AY121" t="s">
        <v>74</v>
      </c>
      <c r="AZ121" t="s">
        <v>74</v>
      </c>
      <c r="BA121" t="s">
        <v>74</v>
      </c>
      <c r="BB121">
        <v>1078</v>
      </c>
      <c r="BC121">
        <v>1078</v>
      </c>
      <c r="BD121" t="s">
        <v>74</v>
      </c>
      <c r="BE121" t="s">
        <v>74</v>
      </c>
      <c r="BF121" t="s">
        <v>74</v>
      </c>
      <c r="BG121" t="s">
        <v>74</v>
      </c>
      <c r="BH121" t="s">
        <v>74</v>
      </c>
      <c r="BI121">
        <v>1</v>
      </c>
      <c r="BJ121" t="s">
        <v>2222</v>
      </c>
      <c r="BK121" t="s">
        <v>98</v>
      </c>
      <c r="BL121" t="s">
        <v>283</v>
      </c>
      <c r="BM121" t="s">
        <v>2223</v>
      </c>
      <c r="BN121" t="s">
        <v>74</v>
      </c>
      <c r="BO121" t="s">
        <v>74</v>
      </c>
      <c r="BP121" t="s">
        <v>74</v>
      </c>
      <c r="BQ121" t="s">
        <v>74</v>
      </c>
      <c r="BR121" t="s">
        <v>101</v>
      </c>
      <c r="BS121" t="s">
        <v>2224</v>
      </c>
      <c r="BT121" t="str">
        <f>HYPERLINK("https%3A%2F%2Fwww.webofscience.com%2Fwos%2Fwoscc%2Ffull-record%2FWOS:000249162300006","View Full Record in Web of Science")</f>
        <v>View Full Record in Web of Science</v>
      </c>
    </row>
    <row r="122" spans="1:72" x14ac:dyDescent="0.15">
      <c r="A122" t="s">
        <v>72</v>
      </c>
      <c r="B122" t="s">
        <v>2225</v>
      </c>
      <c r="C122" t="s">
        <v>74</v>
      </c>
      <c r="D122" t="s">
        <v>74</v>
      </c>
      <c r="E122" t="s">
        <v>74</v>
      </c>
      <c r="F122" t="s">
        <v>2226</v>
      </c>
      <c r="G122" t="s">
        <v>74</v>
      </c>
      <c r="H122" t="s">
        <v>74</v>
      </c>
      <c r="I122" t="s">
        <v>2227</v>
      </c>
      <c r="J122" t="s">
        <v>2217</v>
      </c>
      <c r="K122" t="s">
        <v>74</v>
      </c>
      <c r="L122" t="s">
        <v>74</v>
      </c>
      <c r="M122" t="s">
        <v>78</v>
      </c>
      <c r="N122" t="s">
        <v>620</v>
      </c>
      <c r="O122" t="s">
        <v>74</v>
      </c>
      <c r="P122" t="s">
        <v>74</v>
      </c>
      <c r="Q122" t="s">
        <v>74</v>
      </c>
      <c r="R122" t="s">
        <v>74</v>
      </c>
      <c r="S122" t="s">
        <v>74</v>
      </c>
      <c r="T122" t="s">
        <v>74</v>
      </c>
      <c r="U122" t="s">
        <v>74</v>
      </c>
      <c r="V122" t="s">
        <v>2228</v>
      </c>
      <c r="W122" t="s">
        <v>74</v>
      </c>
      <c r="X122" t="s">
        <v>74</v>
      </c>
      <c r="Y122" t="s">
        <v>2229</v>
      </c>
      <c r="Z122" t="s">
        <v>2230</v>
      </c>
      <c r="AA122" t="s">
        <v>74</v>
      </c>
      <c r="AB122" t="s">
        <v>74</v>
      </c>
      <c r="AC122" t="s">
        <v>74</v>
      </c>
      <c r="AD122" t="s">
        <v>74</v>
      </c>
      <c r="AE122" t="s">
        <v>74</v>
      </c>
      <c r="AF122" t="s">
        <v>74</v>
      </c>
      <c r="AG122">
        <v>3</v>
      </c>
      <c r="AH122">
        <v>6</v>
      </c>
      <c r="AI122">
        <v>6</v>
      </c>
      <c r="AJ122">
        <v>0</v>
      </c>
      <c r="AK122">
        <v>32</v>
      </c>
      <c r="AL122" t="s">
        <v>1503</v>
      </c>
      <c r="AM122" t="s">
        <v>1504</v>
      </c>
      <c r="AN122" t="s">
        <v>1505</v>
      </c>
      <c r="AO122" t="s">
        <v>2218</v>
      </c>
      <c r="AP122" t="s">
        <v>2219</v>
      </c>
      <c r="AQ122" t="s">
        <v>74</v>
      </c>
      <c r="AR122" t="s">
        <v>2220</v>
      </c>
      <c r="AS122" t="s">
        <v>2221</v>
      </c>
      <c r="AT122" t="s">
        <v>1184</v>
      </c>
      <c r="AU122">
        <v>2007</v>
      </c>
      <c r="AV122">
        <v>54</v>
      </c>
      <c r="AW122">
        <v>8</v>
      </c>
      <c r="AX122" t="s">
        <v>74</v>
      </c>
      <c r="AY122" t="s">
        <v>74</v>
      </c>
      <c r="AZ122" t="s">
        <v>74</v>
      </c>
      <c r="BA122" t="s">
        <v>74</v>
      </c>
      <c r="BB122">
        <v>1081</v>
      </c>
      <c r="BC122">
        <v>1086</v>
      </c>
      <c r="BD122" t="s">
        <v>74</v>
      </c>
      <c r="BE122" t="s">
        <v>2231</v>
      </c>
      <c r="BF122" t="str">
        <f>HYPERLINK("http://dx.doi.org/10.1016/j.marpolbul.2007.05.011","http://dx.doi.org/10.1016/j.marpolbul.2007.05.011")</f>
        <v>http://dx.doi.org/10.1016/j.marpolbul.2007.05.011</v>
      </c>
      <c r="BG122" t="s">
        <v>74</v>
      </c>
      <c r="BH122" t="s">
        <v>74</v>
      </c>
      <c r="BI122">
        <v>6</v>
      </c>
      <c r="BJ122" t="s">
        <v>2222</v>
      </c>
      <c r="BK122" t="s">
        <v>98</v>
      </c>
      <c r="BL122" t="s">
        <v>283</v>
      </c>
      <c r="BM122" t="s">
        <v>2223</v>
      </c>
      <c r="BN122">
        <v>17597163</v>
      </c>
      <c r="BO122" t="s">
        <v>74</v>
      </c>
      <c r="BP122" t="s">
        <v>74</v>
      </c>
      <c r="BQ122" t="s">
        <v>74</v>
      </c>
      <c r="BR122" t="s">
        <v>101</v>
      </c>
      <c r="BS122" t="s">
        <v>2232</v>
      </c>
      <c r="BT122" t="str">
        <f>HYPERLINK("https%3A%2F%2Fwww.webofscience.com%2Fwos%2Fwoscc%2Ffull-record%2FWOS:000249162300012","View Full Record in Web of Science")</f>
        <v>View Full Record in Web of Science</v>
      </c>
    </row>
    <row r="123" spans="1:72" x14ac:dyDescent="0.15">
      <c r="A123" t="s">
        <v>72</v>
      </c>
      <c r="B123" t="s">
        <v>2233</v>
      </c>
      <c r="C123" t="s">
        <v>74</v>
      </c>
      <c r="D123" t="s">
        <v>74</v>
      </c>
      <c r="E123" t="s">
        <v>74</v>
      </c>
      <c r="F123" t="s">
        <v>2234</v>
      </c>
      <c r="G123" t="s">
        <v>74</v>
      </c>
      <c r="H123" t="s">
        <v>74</v>
      </c>
      <c r="I123" t="s">
        <v>2235</v>
      </c>
      <c r="J123" t="s">
        <v>2236</v>
      </c>
      <c r="K123" t="s">
        <v>74</v>
      </c>
      <c r="L123" t="s">
        <v>74</v>
      </c>
      <c r="M123" t="s">
        <v>78</v>
      </c>
      <c r="N123" t="s">
        <v>52</v>
      </c>
      <c r="O123" t="s">
        <v>2237</v>
      </c>
      <c r="P123" t="s">
        <v>2238</v>
      </c>
      <c r="Q123" t="s">
        <v>2239</v>
      </c>
      <c r="R123" t="s">
        <v>74</v>
      </c>
      <c r="S123" t="s">
        <v>74</v>
      </c>
      <c r="T123" t="s">
        <v>74</v>
      </c>
      <c r="U123" t="s">
        <v>74</v>
      </c>
      <c r="V123" t="s">
        <v>74</v>
      </c>
      <c r="W123" t="s">
        <v>2240</v>
      </c>
      <c r="X123" t="s">
        <v>2241</v>
      </c>
      <c r="Y123" t="s">
        <v>74</v>
      </c>
      <c r="Z123" t="s">
        <v>2242</v>
      </c>
      <c r="AA123" t="s">
        <v>74</v>
      </c>
      <c r="AB123" t="s">
        <v>74</v>
      </c>
      <c r="AC123" t="s">
        <v>74</v>
      </c>
      <c r="AD123" t="s">
        <v>74</v>
      </c>
      <c r="AE123" t="s">
        <v>74</v>
      </c>
      <c r="AF123" t="s">
        <v>74</v>
      </c>
      <c r="AG123">
        <v>4</v>
      </c>
      <c r="AH123">
        <v>1</v>
      </c>
      <c r="AI123">
        <v>1</v>
      </c>
      <c r="AJ123">
        <v>0</v>
      </c>
      <c r="AK123">
        <v>0</v>
      </c>
      <c r="AL123" t="s">
        <v>1202</v>
      </c>
      <c r="AM123" t="s">
        <v>1203</v>
      </c>
      <c r="AN123" t="s">
        <v>1204</v>
      </c>
      <c r="AO123" t="s">
        <v>2243</v>
      </c>
      <c r="AP123" t="s">
        <v>2244</v>
      </c>
      <c r="AQ123" t="s">
        <v>74</v>
      </c>
      <c r="AR123" t="s">
        <v>2245</v>
      </c>
      <c r="AS123" t="s">
        <v>2246</v>
      </c>
      <c r="AT123" t="s">
        <v>1184</v>
      </c>
      <c r="AU123">
        <v>2007</v>
      </c>
      <c r="AV123">
        <v>42</v>
      </c>
      <c r="AW123" t="s">
        <v>74</v>
      </c>
      <c r="AX123" t="s">
        <v>74</v>
      </c>
      <c r="AY123" t="s">
        <v>1778</v>
      </c>
      <c r="AZ123" t="s">
        <v>74</v>
      </c>
      <c r="BA123" t="s">
        <v>74</v>
      </c>
      <c r="BB123" t="s">
        <v>2247</v>
      </c>
      <c r="BC123" t="s">
        <v>2247</v>
      </c>
      <c r="BD123" t="s">
        <v>74</v>
      </c>
      <c r="BE123" t="s">
        <v>74</v>
      </c>
      <c r="BF123" t="s">
        <v>74</v>
      </c>
      <c r="BG123" t="s">
        <v>74</v>
      </c>
      <c r="BH123" t="s">
        <v>74</v>
      </c>
      <c r="BI123">
        <v>1</v>
      </c>
      <c r="BJ123" t="s">
        <v>688</v>
      </c>
      <c r="BK123" t="s">
        <v>535</v>
      </c>
      <c r="BL123" t="s">
        <v>688</v>
      </c>
      <c r="BM123" t="s">
        <v>2248</v>
      </c>
      <c r="BN123" t="s">
        <v>74</v>
      </c>
      <c r="BO123" t="s">
        <v>74</v>
      </c>
      <c r="BP123" t="s">
        <v>74</v>
      </c>
      <c r="BQ123" t="s">
        <v>74</v>
      </c>
      <c r="BR123" t="s">
        <v>101</v>
      </c>
      <c r="BS123" t="s">
        <v>2249</v>
      </c>
      <c r="BT123" t="str">
        <f>HYPERLINK("https%3A%2F%2Fwww.webofscience.com%2Fwos%2Fwoscc%2Ffull-record%2FWOS:000248755800011","View Full Record in Web of Science")</f>
        <v>View Full Record in Web of Science</v>
      </c>
    </row>
    <row r="124" spans="1:72" x14ac:dyDescent="0.15">
      <c r="A124" t="s">
        <v>72</v>
      </c>
      <c r="B124" t="s">
        <v>2250</v>
      </c>
      <c r="C124" t="s">
        <v>74</v>
      </c>
      <c r="D124" t="s">
        <v>74</v>
      </c>
      <c r="E124" t="s">
        <v>74</v>
      </c>
      <c r="F124" t="s">
        <v>2251</v>
      </c>
      <c r="G124" t="s">
        <v>74</v>
      </c>
      <c r="H124" t="s">
        <v>74</v>
      </c>
      <c r="I124" t="s">
        <v>2252</v>
      </c>
      <c r="J124" t="s">
        <v>2236</v>
      </c>
      <c r="K124" t="s">
        <v>74</v>
      </c>
      <c r="L124" t="s">
        <v>74</v>
      </c>
      <c r="M124" t="s">
        <v>78</v>
      </c>
      <c r="N124" t="s">
        <v>52</v>
      </c>
      <c r="O124" t="s">
        <v>2237</v>
      </c>
      <c r="P124" t="s">
        <v>2238</v>
      </c>
      <c r="Q124" t="s">
        <v>2239</v>
      </c>
      <c r="R124" t="s">
        <v>74</v>
      </c>
      <c r="S124" t="s">
        <v>74</v>
      </c>
      <c r="T124" t="s">
        <v>74</v>
      </c>
      <c r="U124" t="s">
        <v>74</v>
      </c>
      <c r="V124" t="s">
        <v>74</v>
      </c>
      <c r="W124" t="s">
        <v>2253</v>
      </c>
      <c r="X124" t="s">
        <v>2254</v>
      </c>
      <c r="Y124" t="s">
        <v>74</v>
      </c>
      <c r="Z124" t="s">
        <v>2255</v>
      </c>
      <c r="AA124" t="s">
        <v>2256</v>
      </c>
      <c r="AB124" t="s">
        <v>2257</v>
      </c>
      <c r="AC124" t="s">
        <v>74</v>
      </c>
      <c r="AD124" t="s">
        <v>74</v>
      </c>
      <c r="AE124" t="s">
        <v>74</v>
      </c>
      <c r="AF124" t="s">
        <v>74</v>
      </c>
      <c r="AG124">
        <v>5</v>
      </c>
      <c r="AH124">
        <v>0</v>
      </c>
      <c r="AI124">
        <v>0</v>
      </c>
      <c r="AJ124">
        <v>0</v>
      </c>
      <c r="AK124">
        <v>1</v>
      </c>
      <c r="AL124" t="s">
        <v>2258</v>
      </c>
      <c r="AM124" t="s">
        <v>2259</v>
      </c>
      <c r="AN124" t="s">
        <v>2260</v>
      </c>
      <c r="AO124" t="s">
        <v>2243</v>
      </c>
      <c r="AP124" t="s">
        <v>74</v>
      </c>
      <c r="AQ124" t="s">
        <v>74</v>
      </c>
      <c r="AR124" t="s">
        <v>2245</v>
      </c>
      <c r="AS124" t="s">
        <v>2246</v>
      </c>
      <c r="AT124" t="s">
        <v>1184</v>
      </c>
      <c r="AU124">
        <v>2007</v>
      </c>
      <c r="AV124">
        <v>42</v>
      </c>
      <c r="AW124" t="s">
        <v>74</v>
      </c>
      <c r="AX124" t="s">
        <v>74</v>
      </c>
      <c r="AY124" t="s">
        <v>1778</v>
      </c>
      <c r="AZ124" t="s">
        <v>74</v>
      </c>
      <c r="BA124" t="s">
        <v>74</v>
      </c>
      <c r="BB124" t="s">
        <v>2261</v>
      </c>
      <c r="BC124" t="s">
        <v>2261</v>
      </c>
      <c r="BD124" t="s">
        <v>74</v>
      </c>
      <c r="BE124" t="s">
        <v>74</v>
      </c>
      <c r="BF124" t="s">
        <v>74</v>
      </c>
      <c r="BG124" t="s">
        <v>74</v>
      </c>
      <c r="BH124" t="s">
        <v>74</v>
      </c>
      <c r="BI124">
        <v>1</v>
      </c>
      <c r="BJ124" t="s">
        <v>688</v>
      </c>
      <c r="BK124" t="s">
        <v>745</v>
      </c>
      <c r="BL124" t="s">
        <v>688</v>
      </c>
      <c r="BM124" t="s">
        <v>2248</v>
      </c>
      <c r="BN124" t="s">
        <v>74</v>
      </c>
      <c r="BO124" t="s">
        <v>74</v>
      </c>
      <c r="BP124" t="s">
        <v>74</v>
      </c>
      <c r="BQ124" t="s">
        <v>74</v>
      </c>
      <c r="BR124" t="s">
        <v>101</v>
      </c>
      <c r="BS124" t="s">
        <v>2262</v>
      </c>
      <c r="BT124" t="str">
        <f>HYPERLINK("https%3A%2F%2Fwww.webofscience.com%2Fwos%2Fwoscc%2Ffull-record%2FWOS:000248755800016","View Full Record in Web of Science")</f>
        <v>View Full Record in Web of Science</v>
      </c>
    </row>
    <row r="125" spans="1:72" x14ac:dyDescent="0.15">
      <c r="A125" t="s">
        <v>72</v>
      </c>
      <c r="B125" t="s">
        <v>2263</v>
      </c>
      <c r="C125" t="s">
        <v>74</v>
      </c>
      <c r="D125" t="s">
        <v>74</v>
      </c>
      <c r="E125" t="s">
        <v>74</v>
      </c>
      <c r="F125" t="s">
        <v>2264</v>
      </c>
      <c r="G125" t="s">
        <v>74</v>
      </c>
      <c r="H125" t="s">
        <v>74</v>
      </c>
      <c r="I125" t="s">
        <v>2265</v>
      </c>
      <c r="J125" t="s">
        <v>2236</v>
      </c>
      <c r="K125" t="s">
        <v>74</v>
      </c>
      <c r="L125" t="s">
        <v>74</v>
      </c>
      <c r="M125" t="s">
        <v>78</v>
      </c>
      <c r="N125" t="s">
        <v>52</v>
      </c>
      <c r="O125" t="s">
        <v>2237</v>
      </c>
      <c r="P125" t="s">
        <v>2238</v>
      </c>
      <c r="Q125" t="s">
        <v>2239</v>
      </c>
      <c r="R125" t="s">
        <v>74</v>
      </c>
      <c r="S125" t="s">
        <v>74</v>
      </c>
      <c r="T125" t="s">
        <v>74</v>
      </c>
      <c r="U125" t="s">
        <v>74</v>
      </c>
      <c r="V125" t="s">
        <v>74</v>
      </c>
      <c r="W125" t="s">
        <v>2266</v>
      </c>
      <c r="X125" t="s">
        <v>2267</v>
      </c>
      <c r="Y125" t="s">
        <v>74</v>
      </c>
      <c r="Z125" t="s">
        <v>2268</v>
      </c>
      <c r="AA125" t="s">
        <v>2269</v>
      </c>
      <c r="AB125" t="s">
        <v>74</v>
      </c>
      <c r="AC125" t="s">
        <v>74</v>
      </c>
      <c r="AD125" t="s">
        <v>74</v>
      </c>
      <c r="AE125" t="s">
        <v>74</v>
      </c>
      <c r="AF125" t="s">
        <v>74</v>
      </c>
      <c r="AG125">
        <v>3</v>
      </c>
      <c r="AH125">
        <v>1</v>
      </c>
      <c r="AI125">
        <v>1</v>
      </c>
      <c r="AJ125">
        <v>0</v>
      </c>
      <c r="AK125">
        <v>0</v>
      </c>
      <c r="AL125" t="s">
        <v>2258</v>
      </c>
      <c r="AM125" t="s">
        <v>2259</v>
      </c>
      <c r="AN125" t="s">
        <v>2260</v>
      </c>
      <c r="AO125" t="s">
        <v>2243</v>
      </c>
      <c r="AP125" t="s">
        <v>74</v>
      </c>
      <c r="AQ125" t="s">
        <v>74</v>
      </c>
      <c r="AR125" t="s">
        <v>2245</v>
      </c>
      <c r="AS125" t="s">
        <v>2246</v>
      </c>
      <c r="AT125" t="s">
        <v>1184</v>
      </c>
      <c r="AU125">
        <v>2007</v>
      </c>
      <c r="AV125">
        <v>42</v>
      </c>
      <c r="AW125" t="s">
        <v>74</v>
      </c>
      <c r="AX125" t="s">
        <v>74</v>
      </c>
      <c r="AY125" t="s">
        <v>1778</v>
      </c>
      <c r="AZ125" t="s">
        <v>74</v>
      </c>
      <c r="BA125" t="s">
        <v>74</v>
      </c>
      <c r="BB125" t="s">
        <v>2270</v>
      </c>
      <c r="BC125" t="s">
        <v>2270</v>
      </c>
      <c r="BD125" t="s">
        <v>74</v>
      </c>
      <c r="BE125" t="s">
        <v>74</v>
      </c>
      <c r="BF125" t="s">
        <v>74</v>
      </c>
      <c r="BG125" t="s">
        <v>74</v>
      </c>
      <c r="BH125" t="s">
        <v>74</v>
      </c>
      <c r="BI125">
        <v>1</v>
      </c>
      <c r="BJ125" t="s">
        <v>688</v>
      </c>
      <c r="BK125" t="s">
        <v>745</v>
      </c>
      <c r="BL125" t="s">
        <v>688</v>
      </c>
      <c r="BM125" t="s">
        <v>2248</v>
      </c>
      <c r="BN125" t="s">
        <v>74</v>
      </c>
      <c r="BO125" t="s">
        <v>74</v>
      </c>
      <c r="BP125" t="s">
        <v>74</v>
      </c>
      <c r="BQ125" t="s">
        <v>74</v>
      </c>
      <c r="BR125" t="s">
        <v>101</v>
      </c>
      <c r="BS125" t="s">
        <v>2271</v>
      </c>
      <c r="BT125" t="str">
        <f>HYPERLINK("https%3A%2F%2Fwww.webofscience.com%2Fwos%2Fwoscc%2Ffull-record%2FWOS:000248755800043","View Full Record in Web of Science")</f>
        <v>View Full Record in Web of Science</v>
      </c>
    </row>
    <row r="126" spans="1:72" x14ac:dyDescent="0.15">
      <c r="A126" t="s">
        <v>72</v>
      </c>
      <c r="B126" t="s">
        <v>2272</v>
      </c>
      <c r="C126" t="s">
        <v>74</v>
      </c>
      <c r="D126" t="s">
        <v>74</v>
      </c>
      <c r="E126" t="s">
        <v>74</v>
      </c>
      <c r="F126" t="s">
        <v>2273</v>
      </c>
      <c r="G126" t="s">
        <v>74</v>
      </c>
      <c r="H126" t="s">
        <v>74</v>
      </c>
      <c r="I126" t="s">
        <v>2274</v>
      </c>
      <c r="J126" t="s">
        <v>2236</v>
      </c>
      <c r="K126" t="s">
        <v>74</v>
      </c>
      <c r="L126" t="s">
        <v>74</v>
      </c>
      <c r="M126" t="s">
        <v>78</v>
      </c>
      <c r="N126" t="s">
        <v>52</v>
      </c>
      <c r="O126" t="s">
        <v>2237</v>
      </c>
      <c r="P126" t="s">
        <v>2238</v>
      </c>
      <c r="Q126" t="s">
        <v>2239</v>
      </c>
      <c r="R126" t="s">
        <v>74</v>
      </c>
      <c r="S126" t="s">
        <v>74</v>
      </c>
      <c r="T126" t="s">
        <v>74</v>
      </c>
      <c r="U126" t="s">
        <v>74</v>
      </c>
      <c r="V126" t="s">
        <v>74</v>
      </c>
      <c r="W126" t="s">
        <v>2275</v>
      </c>
      <c r="X126" t="s">
        <v>2276</v>
      </c>
      <c r="Y126" t="s">
        <v>74</v>
      </c>
      <c r="Z126" t="s">
        <v>2277</v>
      </c>
      <c r="AA126" t="s">
        <v>2278</v>
      </c>
      <c r="AB126" t="s">
        <v>2279</v>
      </c>
      <c r="AC126" t="s">
        <v>74</v>
      </c>
      <c r="AD126" t="s">
        <v>74</v>
      </c>
      <c r="AE126" t="s">
        <v>74</v>
      </c>
      <c r="AF126" t="s">
        <v>74</v>
      </c>
      <c r="AG126">
        <v>4</v>
      </c>
      <c r="AH126">
        <v>0</v>
      </c>
      <c r="AI126">
        <v>0</v>
      </c>
      <c r="AJ126">
        <v>0</v>
      </c>
      <c r="AK126">
        <v>2</v>
      </c>
      <c r="AL126" t="s">
        <v>2258</v>
      </c>
      <c r="AM126" t="s">
        <v>2259</v>
      </c>
      <c r="AN126" t="s">
        <v>2260</v>
      </c>
      <c r="AO126" t="s">
        <v>2243</v>
      </c>
      <c r="AP126" t="s">
        <v>74</v>
      </c>
      <c r="AQ126" t="s">
        <v>74</v>
      </c>
      <c r="AR126" t="s">
        <v>2245</v>
      </c>
      <c r="AS126" t="s">
        <v>2246</v>
      </c>
      <c r="AT126" t="s">
        <v>1184</v>
      </c>
      <c r="AU126">
        <v>2007</v>
      </c>
      <c r="AV126">
        <v>42</v>
      </c>
      <c r="AW126" t="s">
        <v>74</v>
      </c>
      <c r="AX126" t="s">
        <v>74</v>
      </c>
      <c r="AY126" t="s">
        <v>1778</v>
      </c>
      <c r="AZ126" t="s">
        <v>74</v>
      </c>
      <c r="BA126" t="s">
        <v>74</v>
      </c>
      <c r="BB126" t="s">
        <v>2280</v>
      </c>
      <c r="BC126" t="s">
        <v>2280</v>
      </c>
      <c r="BD126" t="s">
        <v>74</v>
      </c>
      <c r="BE126" t="s">
        <v>74</v>
      </c>
      <c r="BF126" t="s">
        <v>74</v>
      </c>
      <c r="BG126" t="s">
        <v>74</v>
      </c>
      <c r="BH126" t="s">
        <v>74</v>
      </c>
      <c r="BI126">
        <v>1</v>
      </c>
      <c r="BJ126" t="s">
        <v>688</v>
      </c>
      <c r="BK126" t="s">
        <v>745</v>
      </c>
      <c r="BL126" t="s">
        <v>688</v>
      </c>
      <c r="BM126" t="s">
        <v>2248</v>
      </c>
      <c r="BN126" t="s">
        <v>74</v>
      </c>
      <c r="BO126" t="s">
        <v>74</v>
      </c>
      <c r="BP126" t="s">
        <v>74</v>
      </c>
      <c r="BQ126" t="s">
        <v>74</v>
      </c>
      <c r="BR126" t="s">
        <v>101</v>
      </c>
      <c r="BS126" t="s">
        <v>2281</v>
      </c>
      <c r="BT126" t="str">
        <f>HYPERLINK("https%3A%2F%2Fwww.webofscience.com%2Fwos%2Fwoscc%2Ffull-record%2FWOS:000248755800067","View Full Record in Web of Science")</f>
        <v>View Full Record in Web of Science</v>
      </c>
    </row>
    <row r="127" spans="1:72" x14ac:dyDescent="0.15">
      <c r="A127" t="s">
        <v>72</v>
      </c>
      <c r="B127" t="s">
        <v>2282</v>
      </c>
      <c r="C127" t="s">
        <v>74</v>
      </c>
      <c r="D127" t="s">
        <v>74</v>
      </c>
      <c r="E127" t="s">
        <v>74</v>
      </c>
      <c r="F127" t="s">
        <v>2283</v>
      </c>
      <c r="G127" t="s">
        <v>74</v>
      </c>
      <c r="H127" t="s">
        <v>74</v>
      </c>
      <c r="I127" t="s">
        <v>2284</v>
      </c>
      <c r="J127" t="s">
        <v>2236</v>
      </c>
      <c r="K127" t="s">
        <v>74</v>
      </c>
      <c r="L127" t="s">
        <v>74</v>
      </c>
      <c r="M127" t="s">
        <v>78</v>
      </c>
      <c r="N127" t="s">
        <v>52</v>
      </c>
      <c r="O127" t="s">
        <v>2237</v>
      </c>
      <c r="P127" t="s">
        <v>2238</v>
      </c>
      <c r="Q127" t="s">
        <v>2239</v>
      </c>
      <c r="R127" t="s">
        <v>74</v>
      </c>
      <c r="S127" t="s">
        <v>74</v>
      </c>
      <c r="T127" t="s">
        <v>74</v>
      </c>
      <c r="U127" t="s">
        <v>2285</v>
      </c>
      <c r="V127" t="s">
        <v>74</v>
      </c>
      <c r="W127" t="s">
        <v>2286</v>
      </c>
      <c r="X127" t="s">
        <v>74</v>
      </c>
      <c r="Y127" t="s">
        <v>74</v>
      </c>
      <c r="Z127" t="s">
        <v>2287</v>
      </c>
      <c r="AA127" t="s">
        <v>74</v>
      </c>
      <c r="AB127" t="s">
        <v>74</v>
      </c>
      <c r="AC127" t="s">
        <v>74</v>
      </c>
      <c r="AD127" t="s">
        <v>74</v>
      </c>
      <c r="AE127" t="s">
        <v>74</v>
      </c>
      <c r="AF127" t="s">
        <v>74</v>
      </c>
      <c r="AG127">
        <v>4</v>
      </c>
      <c r="AH127">
        <v>0</v>
      </c>
      <c r="AI127">
        <v>0</v>
      </c>
      <c r="AJ127">
        <v>0</v>
      </c>
      <c r="AK127">
        <v>0</v>
      </c>
      <c r="AL127" t="s">
        <v>1202</v>
      </c>
      <c r="AM127" t="s">
        <v>1203</v>
      </c>
      <c r="AN127" t="s">
        <v>1204</v>
      </c>
      <c r="AO127" t="s">
        <v>2243</v>
      </c>
      <c r="AP127" t="s">
        <v>2244</v>
      </c>
      <c r="AQ127" t="s">
        <v>74</v>
      </c>
      <c r="AR127" t="s">
        <v>2245</v>
      </c>
      <c r="AS127" t="s">
        <v>2246</v>
      </c>
      <c r="AT127" t="s">
        <v>1184</v>
      </c>
      <c r="AU127">
        <v>2007</v>
      </c>
      <c r="AV127">
        <v>42</v>
      </c>
      <c r="AW127" t="s">
        <v>74</v>
      </c>
      <c r="AX127" t="s">
        <v>74</v>
      </c>
      <c r="AY127" t="s">
        <v>1778</v>
      </c>
      <c r="AZ127" t="s">
        <v>74</v>
      </c>
      <c r="BA127" t="s">
        <v>74</v>
      </c>
      <c r="BB127" t="s">
        <v>2288</v>
      </c>
      <c r="BC127" t="s">
        <v>2288</v>
      </c>
      <c r="BD127" t="s">
        <v>74</v>
      </c>
      <c r="BE127" t="s">
        <v>74</v>
      </c>
      <c r="BF127" t="s">
        <v>74</v>
      </c>
      <c r="BG127" t="s">
        <v>74</v>
      </c>
      <c r="BH127" t="s">
        <v>74</v>
      </c>
      <c r="BI127">
        <v>1</v>
      </c>
      <c r="BJ127" t="s">
        <v>688</v>
      </c>
      <c r="BK127" t="s">
        <v>535</v>
      </c>
      <c r="BL127" t="s">
        <v>688</v>
      </c>
      <c r="BM127" t="s">
        <v>2248</v>
      </c>
      <c r="BN127" t="s">
        <v>74</v>
      </c>
      <c r="BO127" t="s">
        <v>74</v>
      </c>
      <c r="BP127" t="s">
        <v>74</v>
      </c>
      <c r="BQ127" t="s">
        <v>74</v>
      </c>
      <c r="BR127" t="s">
        <v>101</v>
      </c>
      <c r="BS127" t="s">
        <v>2289</v>
      </c>
      <c r="BT127" t="str">
        <f>HYPERLINK("https%3A%2F%2Fwww.webofscience.com%2Fwos%2Fwoscc%2Ffull-record%2FWOS:000248755800175","View Full Record in Web of Science")</f>
        <v>View Full Record in Web of Science</v>
      </c>
    </row>
    <row r="128" spans="1:72" x14ac:dyDescent="0.15">
      <c r="A128" t="s">
        <v>72</v>
      </c>
      <c r="B128" t="s">
        <v>2290</v>
      </c>
      <c r="C128" t="s">
        <v>74</v>
      </c>
      <c r="D128" t="s">
        <v>74</v>
      </c>
      <c r="E128" t="s">
        <v>74</v>
      </c>
      <c r="F128" t="s">
        <v>2291</v>
      </c>
      <c r="G128" t="s">
        <v>74</v>
      </c>
      <c r="H128" t="s">
        <v>74</v>
      </c>
      <c r="I128" t="s">
        <v>2292</v>
      </c>
      <c r="J128" t="s">
        <v>2236</v>
      </c>
      <c r="K128" t="s">
        <v>74</v>
      </c>
      <c r="L128" t="s">
        <v>74</v>
      </c>
      <c r="M128" t="s">
        <v>78</v>
      </c>
      <c r="N128" t="s">
        <v>52</v>
      </c>
      <c r="O128" t="s">
        <v>2237</v>
      </c>
      <c r="P128" t="s">
        <v>2238</v>
      </c>
      <c r="Q128" t="s">
        <v>2239</v>
      </c>
      <c r="R128" t="s">
        <v>74</v>
      </c>
      <c r="S128" t="s">
        <v>74</v>
      </c>
      <c r="T128" t="s">
        <v>74</v>
      </c>
      <c r="U128" t="s">
        <v>2293</v>
      </c>
      <c r="V128" t="s">
        <v>74</v>
      </c>
      <c r="W128" t="s">
        <v>2294</v>
      </c>
      <c r="X128" t="s">
        <v>2295</v>
      </c>
      <c r="Y128" t="s">
        <v>74</v>
      </c>
      <c r="Z128" t="s">
        <v>2296</v>
      </c>
      <c r="AA128" t="s">
        <v>74</v>
      </c>
      <c r="AB128" t="s">
        <v>74</v>
      </c>
      <c r="AC128" t="s">
        <v>74</v>
      </c>
      <c r="AD128" t="s">
        <v>74</v>
      </c>
      <c r="AE128" t="s">
        <v>74</v>
      </c>
      <c r="AF128" t="s">
        <v>74</v>
      </c>
      <c r="AG128">
        <v>9</v>
      </c>
      <c r="AH128">
        <v>12</v>
      </c>
      <c r="AI128">
        <v>13</v>
      </c>
      <c r="AJ128">
        <v>0</v>
      </c>
      <c r="AK128">
        <v>4</v>
      </c>
      <c r="AL128" t="s">
        <v>2258</v>
      </c>
      <c r="AM128" t="s">
        <v>2259</v>
      </c>
      <c r="AN128" t="s">
        <v>2260</v>
      </c>
      <c r="AO128" t="s">
        <v>2243</v>
      </c>
      <c r="AP128" t="s">
        <v>74</v>
      </c>
      <c r="AQ128" t="s">
        <v>74</v>
      </c>
      <c r="AR128" t="s">
        <v>2245</v>
      </c>
      <c r="AS128" t="s">
        <v>2246</v>
      </c>
      <c r="AT128" t="s">
        <v>1184</v>
      </c>
      <c r="AU128">
        <v>2007</v>
      </c>
      <c r="AV128">
        <v>42</v>
      </c>
      <c r="AW128" t="s">
        <v>74</v>
      </c>
      <c r="AX128" t="s">
        <v>74</v>
      </c>
      <c r="AY128" t="s">
        <v>1778</v>
      </c>
      <c r="AZ128" t="s">
        <v>74</v>
      </c>
      <c r="BA128" t="s">
        <v>74</v>
      </c>
      <c r="BB128" t="s">
        <v>2297</v>
      </c>
      <c r="BC128" t="s">
        <v>2297</v>
      </c>
      <c r="BD128" t="s">
        <v>74</v>
      </c>
      <c r="BE128" t="s">
        <v>74</v>
      </c>
      <c r="BF128" t="s">
        <v>74</v>
      </c>
      <c r="BG128" t="s">
        <v>74</v>
      </c>
      <c r="BH128" t="s">
        <v>74</v>
      </c>
      <c r="BI128">
        <v>1</v>
      </c>
      <c r="BJ128" t="s">
        <v>688</v>
      </c>
      <c r="BK128" t="s">
        <v>745</v>
      </c>
      <c r="BL128" t="s">
        <v>688</v>
      </c>
      <c r="BM128" t="s">
        <v>2248</v>
      </c>
      <c r="BN128" t="s">
        <v>74</v>
      </c>
      <c r="BO128" t="s">
        <v>74</v>
      </c>
      <c r="BP128" t="s">
        <v>74</v>
      </c>
      <c r="BQ128" t="s">
        <v>74</v>
      </c>
      <c r="BR128" t="s">
        <v>101</v>
      </c>
      <c r="BS128" t="s">
        <v>2298</v>
      </c>
      <c r="BT128" t="str">
        <f>HYPERLINK("https%3A%2F%2Fwww.webofscience.com%2Fwos%2Fwoscc%2Ffull-record%2FWOS:000248755800199","View Full Record in Web of Science")</f>
        <v>View Full Record in Web of Science</v>
      </c>
    </row>
    <row r="129" spans="1:72" x14ac:dyDescent="0.15">
      <c r="A129" t="s">
        <v>72</v>
      </c>
      <c r="B129" t="s">
        <v>2299</v>
      </c>
      <c r="C129" t="s">
        <v>74</v>
      </c>
      <c r="D129" t="s">
        <v>74</v>
      </c>
      <c r="E129" t="s">
        <v>74</v>
      </c>
      <c r="F129" t="s">
        <v>2300</v>
      </c>
      <c r="G129" t="s">
        <v>74</v>
      </c>
      <c r="H129" t="s">
        <v>74</v>
      </c>
      <c r="I129" t="s">
        <v>2301</v>
      </c>
      <c r="J129" t="s">
        <v>2236</v>
      </c>
      <c r="K129" t="s">
        <v>74</v>
      </c>
      <c r="L129" t="s">
        <v>74</v>
      </c>
      <c r="M129" t="s">
        <v>78</v>
      </c>
      <c r="N129" t="s">
        <v>52</v>
      </c>
      <c r="O129" t="s">
        <v>2237</v>
      </c>
      <c r="P129" t="s">
        <v>2238</v>
      </c>
      <c r="Q129" t="s">
        <v>2239</v>
      </c>
      <c r="R129" t="s">
        <v>74</v>
      </c>
      <c r="S129" t="s">
        <v>74</v>
      </c>
      <c r="T129" t="s">
        <v>74</v>
      </c>
      <c r="U129" t="s">
        <v>2302</v>
      </c>
      <c r="V129" t="s">
        <v>74</v>
      </c>
      <c r="W129" t="s">
        <v>2303</v>
      </c>
      <c r="X129" t="s">
        <v>2304</v>
      </c>
      <c r="Y129" t="s">
        <v>74</v>
      </c>
      <c r="Z129" t="s">
        <v>2305</v>
      </c>
      <c r="AA129" t="s">
        <v>2306</v>
      </c>
      <c r="AB129" t="s">
        <v>2307</v>
      </c>
      <c r="AC129" t="s">
        <v>74</v>
      </c>
      <c r="AD129" t="s">
        <v>74</v>
      </c>
      <c r="AE129" t="s">
        <v>74</v>
      </c>
      <c r="AF129" t="s">
        <v>74</v>
      </c>
      <c r="AG129">
        <v>6</v>
      </c>
      <c r="AH129">
        <v>0</v>
      </c>
      <c r="AI129">
        <v>0</v>
      </c>
      <c r="AJ129">
        <v>0</v>
      </c>
      <c r="AK129">
        <v>0</v>
      </c>
      <c r="AL129" t="s">
        <v>2258</v>
      </c>
      <c r="AM129" t="s">
        <v>2259</v>
      </c>
      <c r="AN129" t="s">
        <v>2260</v>
      </c>
      <c r="AO129" t="s">
        <v>2243</v>
      </c>
      <c r="AP129" t="s">
        <v>74</v>
      </c>
      <c r="AQ129" t="s">
        <v>74</v>
      </c>
      <c r="AR129" t="s">
        <v>2245</v>
      </c>
      <c r="AS129" t="s">
        <v>2246</v>
      </c>
      <c r="AT129" t="s">
        <v>1184</v>
      </c>
      <c r="AU129">
        <v>2007</v>
      </c>
      <c r="AV129">
        <v>42</v>
      </c>
      <c r="AW129" t="s">
        <v>74</v>
      </c>
      <c r="AX129" t="s">
        <v>74</v>
      </c>
      <c r="AY129" t="s">
        <v>1778</v>
      </c>
      <c r="AZ129" t="s">
        <v>74</v>
      </c>
      <c r="BA129" t="s">
        <v>74</v>
      </c>
      <c r="BB129" t="s">
        <v>2308</v>
      </c>
      <c r="BC129" t="s">
        <v>2308</v>
      </c>
      <c r="BD129" t="s">
        <v>74</v>
      </c>
      <c r="BE129" t="s">
        <v>74</v>
      </c>
      <c r="BF129" t="s">
        <v>74</v>
      </c>
      <c r="BG129" t="s">
        <v>74</v>
      </c>
      <c r="BH129" t="s">
        <v>74</v>
      </c>
      <c r="BI129">
        <v>1</v>
      </c>
      <c r="BJ129" t="s">
        <v>688</v>
      </c>
      <c r="BK129" t="s">
        <v>745</v>
      </c>
      <c r="BL129" t="s">
        <v>688</v>
      </c>
      <c r="BM129" t="s">
        <v>2248</v>
      </c>
      <c r="BN129" t="s">
        <v>74</v>
      </c>
      <c r="BO129" t="s">
        <v>74</v>
      </c>
      <c r="BP129" t="s">
        <v>74</v>
      </c>
      <c r="BQ129" t="s">
        <v>74</v>
      </c>
      <c r="BR129" t="s">
        <v>101</v>
      </c>
      <c r="BS129" t="s">
        <v>2309</v>
      </c>
      <c r="BT129" t="str">
        <f>HYPERLINK("https%3A%2F%2Fwww.webofscience.com%2Fwos%2Fwoscc%2Ffull-record%2FWOS:000248755800310","View Full Record in Web of Science")</f>
        <v>View Full Record in Web of Science</v>
      </c>
    </row>
    <row r="130" spans="1:72" x14ac:dyDescent="0.15">
      <c r="A130" t="s">
        <v>72</v>
      </c>
      <c r="B130" t="s">
        <v>2310</v>
      </c>
      <c r="C130" t="s">
        <v>74</v>
      </c>
      <c r="D130" t="s">
        <v>74</v>
      </c>
      <c r="E130" t="s">
        <v>74</v>
      </c>
      <c r="F130" t="s">
        <v>2311</v>
      </c>
      <c r="G130" t="s">
        <v>74</v>
      </c>
      <c r="H130" t="s">
        <v>74</v>
      </c>
      <c r="I130" t="s">
        <v>2312</v>
      </c>
      <c r="J130" t="s">
        <v>2236</v>
      </c>
      <c r="K130" t="s">
        <v>74</v>
      </c>
      <c r="L130" t="s">
        <v>74</v>
      </c>
      <c r="M130" t="s">
        <v>78</v>
      </c>
      <c r="N130" t="s">
        <v>52</v>
      </c>
      <c r="O130" t="s">
        <v>2237</v>
      </c>
      <c r="P130" t="s">
        <v>2238</v>
      </c>
      <c r="Q130" t="s">
        <v>2239</v>
      </c>
      <c r="R130" t="s">
        <v>74</v>
      </c>
      <c r="S130" t="s">
        <v>74</v>
      </c>
      <c r="T130" t="s">
        <v>74</v>
      </c>
      <c r="U130" t="s">
        <v>74</v>
      </c>
      <c r="V130" t="s">
        <v>74</v>
      </c>
      <c r="W130" t="s">
        <v>2313</v>
      </c>
      <c r="X130" t="s">
        <v>74</v>
      </c>
      <c r="Y130" t="s">
        <v>74</v>
      </c>
      <c r="Z130" t="s">
        <v>2314</v>
      </c>
      <c r="AA130" t="s">
        <v>74</v>
      </c>
      <c r="AB130" t="s">
        <v>74</v>
      </c>
      <c r="AC130" t="s">
        <v>74</v>
      </c>
      <c r="AD130" t="s">
        <v>74</v>
      </c>
      <c r="AE130" t="s">
        <v>74</v>
      </c>
      <c r="AF130" t="s">
        <v>74</v>
      </c>
      <c r="AG130">
        <v>2</v>
      </c>
      <c r="AH130">
        <v>0</v>
      </c>
      <c r="AI130">
        <v>0</v>
      </c>
      <c r="AJ130">
        <v>0</v>
      </c>
      <c r="AK130">
        <v>0</v>
      </c>
      <c r="AL130" t="s">
        <v>1202</v>
      </c>
      <c r="AM130" t="s">
        <v>1203</v>
      </c>
      <c r="AN130" t="s">
        <v>1204</v>
      </c>
      <c r="AO130" t="s">
        <v>2243</v>
      </c>
      <c r="AP130" t="s">
        <v>2244</v>
      </c>
      <c r="AQ130" t="s">
        <v>74</v>
      </c>
      <c r="AR130" t="s">
        <v>2245</v>
      </c>
      <c r="AS130" t="s">
        <v>2246</v>
      </c>
      <c r="AT130" t="s">
        <v>1184</v>
      </c>
      <c r="AU130">
        <v>2007</v>
      </c>
      <c r="AV130">
        <v>42</v>
      </c>
      <c r="AW130" t="s">
        <v>74</v>
      </c>
      <c r="AX130" t="s">
        <v>74</v>
      </c>
      <c r="AY130" t="s">
        <v>1778</v>
      </c>
      <c r="AZ130" t="s">
        <v>74</v>
      </c>
      <c r="BA130" t="s">
        <v>74</v>
      </c>
      <c r="BB130" t="s">
        <v>2315</v>
      </c>
      <c r="BC130" t="s">
        <v>2315</v>
      </c>
      <c r="BD130" t="s">
        <v>74</v>
      </c>
      <c r="BE130" t="s">
        <v>74</v>
      </c>
      <c r="BF130" t="s">
        <v>74</v>
      </c>
      <c r="BG130" t="s">
        <v>74</v>
      </c>
      <c r="BH130" t="s">
        <v>74</v>
      </c>
      <c r="BI130">
        <v>1</v>
      </c>
      <c r="BJ130" t="s">
        <v>688</v>
      </c>
      <c r="BK130" t="s">
        <v>535</v>
      </c>
      <c r="BL130" t="s">
        <v>688</v>
      </c>
      <c r="BM130" t="s">
        <v>2248</v>
      </c>
      <c r="BN130" t="s">
        <v>74</v>
      </c>
      <c r="BO130" t="s">
        <v>74</v>
      </c>
      <c r="BP130" t="s">
        <v>74</v>
      </c>
      <c r="BQ130" t="s">
        <v>74</v>
      </c>
      <c r="BR130" t="s">
        <v>101</v>
      </c>
      <c r="BS130" t="s">
        <v>2316</v>
      </c>
      <c r="BT130" t="str">
        <f>HYPERLINK("https%3A%2F%2Fwww.webofscience.com%2Fwos%2Fwoscc%2Ffull-record%2FWOS:000248755800319","View Full Record in Web of Science")</f>
        <v>View Full Record in Web of Science</v>
      </c>
    </row>
    <row r="131" spans="1:72" x14ac:dyDescent="0.15">
      <c r="A131" t="s">
        <v>72</v>
      </c>
      <c r="B131" t="s">
        <v>2317</v>
      </c>
      <c r="C131" t="s">
        <v>74</v>
      </c>
      <c r="D131" t="s">
        <v>74</v>
      </c>
      <c r="E131" t="s">
        <v>74</v>
      </c>
      <c r="F131" t="s">
        <v>2318</v>
      </c>
      <c r="G131" t="s">
        <v>74</v>
      </c>
      <c r="H131" t="s">
        <v>74</v>
      </c>
      <c r="I131" t="s">
        <v>2319</v>
      </c>
      <c r="J131" t="s">
        <v>2320</v>
      </c>
      <c r="K131" t="s">
        <v>74</v>
      </c>
      <c r="L131" t="s">
        <v>74</v>
      </c>
      <c r="M131" t="s">
        <v>78</v>
      </c>
      <c r="N131" t="s">
        <v>79</v>
      </c>
      <c r="O131" t="s">
        <v>74</v>
      </c>
      <c r="P131" t="s">
        <v>74</v>
      </c>
      <c r="Q131" t="s">
        <v>74</v>
      </c>
      <c r="R131" t="s">
        <v>74</v>
      </c>
      <c r="S131" t="s">
        <v>74</v>
      </c>
      <c r="T131" t="s">
        <v>2321</v>
      </c>
      <c r="U131" t="s">
        <v>2322</v>
      </c>
      <c r="V131" t="s">
        <v>2323</v>
      </c>
      <c r="W131" t="s">
        <v>2324</v>
      </c>
      <c r="X131" t="s">
        <v>2325</v>
      </c>
      <c r="Y131" t="s">
        <v>2326</v>
      </c>
      <c r="Z131" t="s">
        <v>2327</v>
      </c>
      <c r="AA131" t="s">
        <v>2328</v>
      </c>
      <c r="AB131" t="s">
        <v>2329</v>
      </c>
      <c r="AC131" t="s">
        <v>74</v>
      </c>
      <c r="AD131" t="s">
        <v>74</v>
      </c>
      <c r="AE131" t="s">
        <v>74</v>
      </c>
      <c r="AF131" t="s">
        <v>74</v>
      </c>
      <c r="AG131">
        <v>60</v>
      </c>
      <c r="AH131">
        <v>34</v>
      </c>
      <c r="AI131">
        <v>44</v>
      </c>
      <c r="AJ131">
        <v>0</v>
      </c>
      <c r="AK131">
        <v>30</v>
      </c>
      <c r="AL131" t="s">
        <v>1202</v>
      </c>
      <c r="AM131" t="s">
        <v>1203</v>
      </c>
      <c r="AN131" t="s">
        <v>1204</v>
      </c>
      <c r="AO131" t="s">
        <v>2330</v>
      </c>
      <c r="AP131" t="s">
        <v>2331</v>
      </c>
      <c r="AQ131" t="s">
        <v>74</v>
      </c>
      <c r="AR131" t="s">
        <v>2332</v>
      </c>
      <c r="AS131" t="s">
        <v>2333</v>
      </c>
      <c r="AT131" t="s">
        <v>1184</v>
      </c>
      <c r="AU131">
        <v>2007</v>
      </c>
      <c r="AV131">
        <v>16</v>
      </c>
      <c r="AW131">
        <v>15</v>
      </c>
      <c r="AX131" t="s">
        <v>74</v>
      </c>
      <c r="AY131" t="s">
        <v>74</v>
      </c>
      <c r="AZ131" t="s">
        <v>74</v>
      </c>
      <c r="BA131" t="s">
        <v>74</v>
      </c>
      <c r="BB131">
        <v>3187</v>
      </c>
      <c r="BC131">
        <v>3197</v>
      </c>
      <c r="BD131" t="s">
        <v>74</v>
      </c>
      <c r="BE131" t="s">
        <v>2334</v>
      </c>
      <c r="BF131" t="str">
        <f>HYPERLINK("http://dx.doi.org/10.1111/j.1365-294X.2007.03339.x","http://dx.doi.org/10.1111/j.1365-294X.2007.03339.x")</f>
        <v>http://dx.doi.org/10.1111/j.1365-294X.2007.03339.x</v>
      </c>
      <c r="BG131" t="s">
        <v>74</v>
      </c>
      <c r="BH131" t="s">
        <v>74</v>
      </c>
      <c r="BI131">
        <v>11</v>
      </c>
      <c r="BJ131" t="s">
        <v>2335</v>
      </c>
      <c r="BK131" t="s">
        <v>98</v>
      </c>
      <c r="BL131" t="s">
        <v>2336</v>
      </c>
      <c r="BM131" t="s">
        <v>2337</v>
      </c>
      <c r="BN131">
        <v>17651196</v>
      </c>
      <c r="BO131" t="s">
        <v>74</v>
      </c>
      <c r="BP131" t="s">
        <v>74</v>
      </c>
      <c r="BQ131" t="s">
        <v>74</v>
      </c>
      <c r="BR131" t="s">
        <v>101</v>
      </c>
      <c r="BS131" t="s">
        <v>2338</v>
      </c>
      <c r="BT131" t="str">
        <f>HYPERLINK("https%3A%2F%2Fwww.webofscience.com%2Fwos%2Fwoscc%2Ffull-record%2FWOS:000248847600011","View Full Record in Web of Science")</f>
        <v>View Full Record in Web of Science</v>
      </c>
    </row>
    <row r="132" spans="1:72" x14ac:dyDescent="0.15">
      <c r="A132" t="s">
        <v>72</v>
      </c>
      <c r="B132" t="s">
        <v>2339</v>
      </c>
      <c r="C132" t="s">
        <v>74</v>
      </c>
      <c r="D132" t="s">
        <v>74</v>
      </c>
      <c r="E132" t="s">
        <v>74</v>
      </c>
      <c r="F132" t="s">
        <v>2340</v>
      </c>
      <c r="G132" t="s">
        <v>74</v>
      </c>
      <c r="H132" t="s">
        <v>74</v>
      </c>
      <c r="I132" t="s">
        <v>2341</v>
      </c>
      <c r="J132" t="s">
        <v>2342</v>
      </c>
      <c r="K132" t="s">
        <v>74</v>
      </c>
      <c r="L132" t="s">
        <v>74</v>
      </c>
      <c r="M132" t="s">
        <v>78</v>
      </c>
      <c r="N132" t="s">
        <v>79</v>
      </c>
      <c r="O132" t="s">
        <v>74</v>
      </c>
      <c r="P132" t="s">
        <v>74</v>
      </c>
      <c r="Q132" t="s">
        <v>74</v>
      </c>
      <c r="R132" t="s">
        <v>74</v>
      </c>
      <c r="S132" t="s">
        <v>74</v>
      </c>
      <c r="T132" t="s">
        <v>2343</v>
      </c>
      <c r="U132" t="s">
        <v>2344</v>
      </c>
      <c r="V132" t="s">
        <v>2345</v>
      </c>
      <c r="W132" t="s">
        <v>2346</v>
      </c>
      <c r="X132" t="s">
        <v>2347</v>
      </c>
      <c r="Y132" t="s">
        <v>2348</v>
      </c>
      <c r="Z132" t="s">
        <v>2349</v>
      </c>
      <c r="AA132" t="s">
        <v>74</v>
      </c>
      <c r="AB132" t="s">
        <v>74</v>
      </c>
      <c r="AC132" t="s">
        <v>74</v>
      </c>
      <c r="AD132" t="s">
        <v>74</v>
      </c>
      <c r="AE132" t="s">
        <v>74</v>
      </c>
      <c r="AF132" t="s">
        <v>74</v>
      </c>
      <c r="AG132">
        <v>37</v>
      </c>
      <c r="AH132">
        <v>7</v>
      </c>
      <c r="AI132">
        <v>7</v>
      </c>
      <c r="AJ132">
        <v>0</v>
      </c>
      <c r="AK132">
        <v>6</v>
      </c>
      <c r="AL132" t="s">
        <v>2350</v>
      </c>
      <c r="AM132" t="s">
        <v>2351</v>
      </c>
      <c r="AN132" t="s">
        <v>2352</v>
      </c>
      <c r="AO132" t="s">
        <v>2353</v>
      </c>
      <c r="AP132" t="s">
        <v>74</v>
      </c>
      <c r="AQ132" t="s">
        <v>74</v>
      </c>
      <c r="AR132" t="s">
        <v>2354</v>
      </c>
      <c r="AS132" t="s">
        <v>2355</v>
      </c>
      <c r="AT132" t="s">
        <v>1184</v>
      </c>
      <c r="AU132">
        <v>2007</v>
      </c>
      <c r="AV132">
        <v>184</v>
      </c>
      <c r="AW132">
        <v>1</v>
      </c>
      <c r="AX132" t="s">
        <v>74</v>
      </c>
      <c r="AY132" t="s">
        <v>74</v>
      </c>
      <c r="AZ132" t="s">
        <v>74</v>
      </c>
      <c r="BA132" t="s">
        <v>74</v>
      </c>
      <c r="BB132">
        <v>77</v>
      </c>
      <c r="BC132">
        <v>94</v>
      </c>
      <c r="BD132" t="s">
        <v>74</v>
      </c>
      <c r="BE132" t="s">
        <v>2356</v>
      </c>
      <c r="BF132" t="str">
        <f>HYPERLINK("http://dx.doi.org/10.1127/0077-7757/2007/0081","http://dx.doi.org/10.1127/0077-7757/2007/0081")</f>
        <v>http://dx.doi.org/10.1127/0077-7757/2007/0081</v>
      </c>
      <c r="BG132" t="s">
        <v>74</v>
      </c>
      <c r="BH132" t="s">
        <v>74</v>
      </c>
      <c r="BI132">
        <v>18</v>
      </c>
      <c r="BJ132" t="s">
        <v>2357</v>
      </c>
      <c r="BK132" t="s">
        <v>98</v>
      </c>
      <c r="BL132" t="s">
        <v>2357</v>
      </c>
      <c r="BM132" t="s">
        <v>2358</v>
      </c>
      <c r="BN132" t="s">
        <v>74</v>
      </c>
      <c r="BO132" t="s">
        <v>74</v>
      </c>
      <c r="BP132" t="s">
        <v>74</v>
      </c>
      <c r="BQ132" t="s">
        <v>74</v>
      </c>
      <c r="BR132" t="s">
        <v>101</v>
      </c>
      <c r="BS132" t="s">
        <v>2359</v>
      </c>
      <c r="BT132" t="str">
        <f>HYPERLINK("https%3A%2F%2Fwww.webofscience.com%2Fwos%2Fwoscc%2Ffull-record%2FWOS:000248805600006","View Full Record in Web of Science")</f>
        <v>View Full Record in Web of Science</v>
      </c>
    </row>
    <row r="133" spans="1:72" x14ac:dyDescent="0.15">
      <c r="A133" t="s">
        <v>72</v>
      </c>
      <c r="B133" t="s">
        <v>2360</v>
      </c>
      <c r="C133" t="s">
        <v>74</v>
      </c>
      <c r="D133" t="s">
        <v>74</v>
      </c>
      <c r="E133" t="s">
        <v>74</v>
      </c>
      <c r="F133" t="s">
        <v>2361</v>
      </c>
      <c r="G133" t="s">
        <v>74</v>
      </c>
      <c r="H133" t="s">
        <v>74</v>
      </c>
      <c r="I133" t="s">
        <v>2362</v>
      </c>
      <c r="J133" t="s">
        <v>2363</v>
      </c>
      <c r="K133" t="s">
        <v>74</v>
      </c>
      <c r="L133" t="s">
        <v>74</v>
      </c>
      <c r="M133" t="s">
        <v>78</v>
      </c>
      <c r="N133" t="s">
        <v>79</v>
      </c>
      <c r="O133" t="s">
        <v>74</v>
      </c>
      <c r="P133" t="s">
        <v>74</v>
      </c>
      <c r="Q133" t="s">
        <v>74</v>
      </c>
      <c r="R133" t="s">
        <v>74</v>
      </c>
      <c r="S133" t="s">
        <v>74</v>
      </c>
      <c r="T133" t="s">
        <v>74</v>
      </c>
      <c r="U133" t="s">
        <v>2364</v>
      </c>
      <c r="V133" t="s">
        <v>2365</v>
      </c>
      <c r="W133" t="s">
        <v>2366</v>
      </c>
      <c r="X133" t="s">
        <v>2367</v>
      </c>
      <c r="Y133" t="s">
        <v>2368</v>
      </c>
      <c r="Z133" t="s">
        <v>2369</v>
      </c>
      <c r="AA133" t="s">
        <v>2370</v>
      </c>
      <c r="AB133" t="s">
        <v>2371</v>
      </c>
      <c r="AC133" t="s">
        <v>74</v>
      </c>
      <c r="AD133" t="s">
        <v>74</v>
      </c>
      <c r="AE133" t="s">
        <v>74</v>
      </c>
      <c r="AF133" t="s">
        <v>74</v>
      </c>
      <c r="AG133">
        <v>12</v>
      </c>
      <c r="AH133">
        <v>4</v>
      </c>
      <c r="AI133">
        <v>4</v>
      </c>
      <c r="AJ133">
        <v>0</v>
      </c>
      <c r="AK133">
        <v>1</v>
      </c>
      <c r="AL133" t="s">
        <v>1677</v>
      </c>
      <c r="AM133" t="s">
        <v>1593</v>
      </c>
      <c r="AN133" t="s">
        <v>1678</v>
      </c>
      <c r="AO133" t="s">
        <v>2372</v>
      </c>
      <c r="AP133" t="s">
        <v>2373</v>
      </c>
      <c r="AQ133" t="s">
        <v>74</v>
      </c>
      <c r="AR133" t="s">
        <v>2374</v>
      </c>
      <c r="AS133" t="s">
        <v>2375</v>
      </c>
      <c r="AT133" t="s">
        <v>1184</v>
      </c>
      <c r="AU133">
        <v>2007</v>
      </c>
      <c r="AV133">
        <v>47</v>
      </c>
      <c r="AW133">
        <v>4</v>
      </c>
      <c r="AX133" t="s">
        <v>74</v>
      </c>
      <c r="AY133" t="s">
        <v>74</v>
      </c>
      <c r="AZ133" t="s">
        <v>74</v>
      </c>
      <c r="BA133" t="s">
        <v>74</v>
      </c>
      <c r="BB133">
        <v>500</v>
      </c>
      <c r="BC133">
        <v>506</v>
      </c>
      <c r="BD133" t="s">
        <v>74</v>
      </c>
      <c r="BE133" t="s">
        <v>2376</v>
      </c>
      <c r="BF133" t="str">
        <f>HYPERLINK("http://dx.doi.org/10.1134/S0001437007040078","http://dx.doi.org/10.1134/S0001437007040078")</f>
        <v>http://dx.doi.org/10.1134/S0001437007040078</v>
      </c>
      <c r="BG133" t="s">
        <v>74</v>
      </c>
      <c r="BH133" t="s">
        <v>74</v>
      </c>
      <c r="BI133">
        <v>7</v>
      </c>
      <c r="BJ133" t="s">
        <v>221</v>
      </c>
      <c r="BK133" t="s">
        <v>98</v>
      </c>
      <c r="BL133" t="s">
        <v>221</v>
      </c>
      <c r="BM133" t="s">
        <v>2377</v>
      </c>
      <c r="BN133" t="s">
        <v>74</v>
      </c>
      <c r="BO133" t="s">
        <v>74</v>
      </c>
      <c r="BP133" t="s">
        <v>74</v>
      </c>
      <c r="BQ133" t="s">
        <v>74</v>
      </c>
      <c r="BR133" t="s">
        <v>101</v>
      </c>
      <c r="BS133" t="s">
        <v>2378</v>
      </c>
      <c r="BT133" t="str">
        <f>HYPERLINK("https%3A%2F%2Fwww.webofscience.com%2Fwos%2Fwoscc%2Ffull-record%2FWOS:000249312100007","View Full Record in Web of Science")</f>
        <v>View Full Record in Web of Science</v>
      </c>
    </row>
    <row r="134" spans="1:72" x14ac:dyDescent="0.15">
      <c r="A134" t="s">
        <v>72</v>
      </c>
      <c r="B134" t="s">
        <v>2379</v>
      </c>
      <c r="C134" t="s">
        <v>74</v>
      </c>
      <c r="D134" t="s">
        <v>74</v>
      </c>
      <c r="E134" t="s">
        <v>74</v>
      </c>
      <c r="F134" t="s">
        <v>2380</v>
      </c>
      <c r="G134" t="s">
        <v>74</v>
      </c>
      <c r="H134" t="s">
        <v>74</v>
      </c>
      <c r="I134" t="s">
        <v>2381</v>
      </c>
      <c r="J134" t="s">
        <v>2363</v>
      </c>
      <c r="K134" t="s">
        <v>74</v>
      </c>
      <c r="L134" t="s">
        <v>74</v>
      </c>
      <c r="M134" t="s">
        <v>78</v>
      </c>
      <c r="N134" t="s">
        <v>79</v>
      </c>
      <c r="O134" t="s">
        <v>74</v>
      </c>
      <c r="P134" t="s">
        <v>74</v>
      </c>
      <c r="Q134" t="s">
        <v>74</v>
      </c>
      <c r="R134" t="s">
        <v>74</v>
      </c>
      <c r="S134" t="s">
        <v>74</v>
      </c>
      <c r="T134" t="s">
        <v>74</v>
      </c>
      <c r="U134" t="s">
        <v>2382</v>
      </c>
      <c r="V134" t="s">
        <v>2383</v>
      </c>
      <c r="W134" t="s">
        <v>2384</v>
      </c>
      <c r="X134" t="s">
        <v>2385</v>
      </c>
      <c r="Y134" t="s">
        <v>2386</v>
      </c>
      <c r="Z134" t="s">
        <v>2387</v>
      </c>
      <c r="AA134" t="s">
        <v>2388</v>
      </c>
      <c r="AB134" t="s">
        <v>2389</v>
      </c>
      <c r="AC134" t="s">
        <v>74</v>
      </c>
      <c r="AD134" t="s">
        <v>74</v>
      </c>
      <c r="AE134" t="s">
        <v>74</v>
      </c>
      <c r="AF134" t="s">
        <v>74</v>
      </c>
      <c r="AG134">
        <v>52</v>
      </c>
      <c r="AH134">
        <v>13</v>
      </c>
      <c r="AI134">
        <v>13</v>
      </c>
      <c r="AJ134">
        <v>2</v>
      </c>
      <c r="AK134">
        <v>13</v>
      </c>
      <c r="AL134" t="s">
        <v>1677</v>
      </c>
      <c r="AM134" t="s">
        <v>1593</v>
      </c>
      <c r="AN134" t="s">
        <v>1678</v>
      </c>
      <c r="AO134" t="s">
        <v>2372</v>
      </c>
      <c r="AP134" t="s">
        <v>2373</v>
      </c>
      <c r="AQ134" t="s">
        <v>74</v>
      </c>
      <c r="AR134" t="s">
        <v>2374</v>
      </c>
      <c r="AS134" t="s">
        <v>2375</v>
      </c>
      <c r="AT134" t="s">
        <v>1184</v>
      </c>
      <c r="AU134">
        <v>2007</v>
      </c>
      <c r="AV134">
        <v>47</v>
      </c>
      <c r="AW134">
        <v>4</v>
      </c>
      <c r="AX134" t="s">
        <v>74</v>
      </c>
      <c r="AY134" t="s">
        <v>74</v>
      </c>
      <c r="AZ134" t="s">
        <v>74</v>
      </c>
      <c r="BA134" t="s">
        <v>74</v>
      </c>
      <c r="BB134">
        <v>507</v>
      </c>
      <c r="BC134">
        <v>518</v>
      </c>
      <c r="BD134" t="s">
        <v>74</v>
      </c>
      <c r="BE134" t="s">
        <v>2390</v>
      </c>
      <c r="BF134" t="str">
        <f>HYPERLINK("http://dx.doi.org/10.1134/S000143700704008X","http://dx.doi.org/10.1134/S000143700704008X")</f>
        <v>http://dx.doi.org/10.1134/S000143700704008X</v>
      </c>
      <c r="BG134" t="s">
        <v>74</v>
      </c>
      <c r="BH134" t="s">
        <v>74</v>
      </c>
      <c r="BI134">
        <v>12</v>
      </c>
      <c r="BJ134" t="s">
        <v>221</v>
      </c>
      <c r="BK134" t="s">
        <v>98</v>
      </c>
      <c r="BL134" t="s">
        <v>221</v>
      </c>
      <c r="BM134" t="s">
        <v>2377</v>
      </c>
      <c r="BN134" t="s">
        <v>74</v>
      </c>
      <c r="BO134" t="s">
        <v>74</v>
      </c>
      <c r="BP134" t="s">
        <v>74</v>
      </c>
      <c r="BQ134" t="s">
        <v>74</v>
      </c>
      <c r="BR134" t="s">
        <v>101</v>
      </c>
      <c r="BS134" t="s">
        <v>2391</v>
      </c>
      <c r="BT134" t="str">
        <f>HYPERLINK("https%3A%2F%2Fwww.webofscience.com%2Fwos%2Fwoscc%2Ffull-record%2FWOS:000249312100008","View Full Record in Web of Science")</f>
        <v>View Full Record in Web of Science</v>
      </c>
    </row>
    <row r="135" spans="1:72" x14ac:dyDescent="0.15">
      <c r="A135" t="s">
        <v>72</v>
      </c>
      <c r="B135" t="s">
        <v>2392</v>
      </c>
      <c r="C135" t="s">
        <v>74</v>
      </c>
      <c r="D135" t="s">
        <v>74</v>
      </c>
      <c r="E135" t="s">
        <v>74</v>
      </c>
      <c r="F135" t="s">
        <v>2393</v>
      </c>
      <c r="G135" t="s">
        <v>74</v>
      </c>
      <c r="H135" t="s">
        <v>74</v>
      </c>
      <c r="I135" t="s">
        <v>2394</v>
      </c>
      <c r="J135" t="s">
        <v>2395</v>
      </c>
      <c r="K135" t="s">
        <v>74</v>
      </c>
      <c r="L135" t="s">
        <v>74</v>
      </c>
      <c r="M135" t="s">
        <v>78</v>
      </c>
      <c r="N135" t="s">
        <v>79</v>
      </c>
      <c r="O135" t="s">
        <v>74</v>
      </c>
      <c r="P135" t="s">
        <v>74</v>
      </c>
      <c r="Q135" t="s">
        <v>74</v>
      </c>
      <c r="R135" t="s">
        <v>74</v>
      </c>
      <c r="S135" t="s">
        <v>74</v>
      </c>
      <c r="T135" t="s">
        <v>2396</v>
      </c>
      <c r="U135" t="s">
        <v>2397</v>
      </c>
      <c r="V135" t="s">
        <v>2398</v>
      </c>
      <c r="W135" t="s">
        <v>2399</v>
      </c>
      <c r="X135" t="s">
        <v>2400</v>
      </c>
      <c r="Y135" t="s">
        <v>2401</v>
      </c>
      <c r="Z135" t="s">
        <v>2402</v>
      </c>
      <c r="AA135" t="s">
        <v>2403</v>
      </c>
      <c r="AB135" t="s">
        <v>2404</v>
      </c>
      <c r="AC135" t="s">
        <v>2405</v>
      </c>
      <c r="AD135" t="s">
        <v>140</v>
      </c>
      <c r="AE135" t="s">
        <v>74</v>
      </c>
      <c r="AF135" t="s">
        <v>74</v>
      </c>
      <c r="AG135">
        <v>29</v>
      </c>
      <c r="AH135">
        <v>38</v>
      </c>
      <c r="AI135">
        <v>42</v>
      </c>
      <c r="AJ135">
        <v>1</v>
      </c>
      <c r="AK135">
        <v>19</v>
      </c>
      <c r="AL135" t="s">
        <v>1592</v>
      </c>
      <c r="AM135" t="s">
        <v>1593</v>
      </c>
      <c r="AN135" t="s">
        <v>2406</v>
      </c>
      <c r="AO135" t="s">
        <v>2407</v>
      </c>
      <c r="AP135" t="s">
        <v>2408</v>
      </c>
      <c r="AQ135" t="s">
        <v>74</v>
      </c>
      <c r="AR135" t="s">
        <v>2395</v>
      </c>
      <c r="AS135" t="s">
        <v>2409</v>
      </c>
      <c r="AT135" t="s">
        <v>1184</v>
      </c>
      <c r="AU135">
        <v>2007</v>
      </c>
      <c r="AV135">
        <v>153</v>
      </c>
      <c r="AW135">
        <v>1</v>
      </c>
      <c r="AX135" t="s">
        <v>74</v>
      </c>
      <c r="AY135" t="s">
        <v>74</v>
      </c>
      <c r="AZ135" t="s">
        <v>74</v>
      </c>
      <c r="BA135" t="s">
        <v>74</v>
      </c>
      <c r="BB135">
        <v>29</v>
      </c>
      <c r="BC135">
        <v>36</v>
      </c>
      <c r="BD135" t="s">
        <v>74</v>
      </c>
      <c r="BE135" t="s">
        <v>2410</v>
      </c>
      <c r="BF135" t="str">
        <f>HYPERLINK("http://dx.doi.org/10.1007/s00442-007-0720-4","http://dx.doi.org/10.1007/s00442-007-0720-4")</f>
        <v>http://dx.doi.org/10.1007/s00442-007-0720-4</v>
      </c>
      <c r="BG135" t="s">
        <v>74</v>
      </c>
      <c r="BH135" t="s">
        <v>74</v>
      </c>
      <c r="BI135">
        <v>8</v>
      </c>
      <c r="BJ135" t="s">
        <v>910</v>
      </c>
      <c r="BK135" t="s">
        <v>98</v>
      </c>
      <c r="BL135" t="s">
        <v>911</v>
      </c>
      <c r="BM135" t="s">
        <v>2411</v>
      </c>
      <c r="BN135">
        <v>17436022</v>
      </c>
      <c r="BO135" t="s">
        <v>74</v>
      </c>
      <c r="BP135" t="s">
        <v>74</v>
      </c>
      <c r="BQ135" t="s">
        <v>74</v>
      </c>
      <c r="BR135" t="s">
        <v>101</v>
      </c>
      <c r="BS135" t="s">
        <v>2412</v>
      </c>
      <c r="BT135" t="str">
        <f>HYPERLINK("https%3A%2F%2Fwww.webofscience.com%2Fwos%2Fwoscc%2Ffull-record%2FWOS:000248172800004","View Full Record in Web of Science")</f>
        <v>View Full Record in Web of Science</v>
      </c>
    </row>
    <row r="136" spans="1:72" x14ac:dyDescent="0.15">
      <c r="A136" t="s">
        <v>72</v>
      </c>
      <c r="B136" t="s">
        <v>2413</v>
      </c>
      <c r="C136" t="s">
        <v>74</v>
      </c>
      <c r="D136" t="s">
        <v>74</v>
      </c>
      <c r="E136" t="s">
        <v>74</v>
      </c>
      <c r="F136" t="s">
        <v>2414</v>
      </c>
      <c r="G136" t="s">
        <v>74</v>
      </c>
      <c r="H136" t="s">
        <v>74</v>
      </c>
      <c r="I136" t="s">
        <v>2415</v>
      </c>
      <c r="J136" t="s">
        <v>2416</v>
      </c>
      <c r="K136" t="s">
        <v>74</v>
      </c>
      <c r="L136" t="s">
        <v>74</v>
      </c>
      <c r="M136" t="s">
        <v>78</v>
      </c>
      <c r="N136" t="s">
        <v>79</v>
      </c>
      <c r="O136" t="s">
        <v>74</v>
      </c>
      <c r="P136" t="s">
        <v>74</v>
      </c>
      <c r="Q136" t="s">
        <v>74</v>
      </c>
      <c r="R136" t="s">
        <v>74</v>
      </c>
      <c r="S136" t="s">
        <v>74</v>
      </c>
      <c r="T136" t="s">
        <v>74</v>
      </c>
      <c r="U136" t="s">
        <v>2417</v>
      </c>
      <c r="V136" t="s">
        <v>2418</v>
      </c>
      <c r="W136" t="s">
        <v>2419</v>
      </c>
      <c r="X136" t="s">
        <v>2420</v>
      </c>
      <c r="Y136" t="s">
        <v>2421</v>
      </c>
      <c r="Z136" t="s">
        <v>2422</v>
      </c>
      <c r="AA136" t="s">
        <v>2423</v>
      </c>
      <c r="AB136" t="s">
        <v>2424</v>
      </c>
      <c r="AC136" t="s">
        <v>74</v>
      </c>
      <c r="AD136" t="s">
        <v>74</v>
      </c>
      <c r="AE136" t="s">
        <v>74</v>
      </c>
      <c r="AF136" t="s">
        <v>74</v>
      </c>
      <c r="AG136">
        <v>46</v>
      </c>
      <c r="AH136">
        <v>112</v>
      </c>
      <c r="AI136">
        <v>119</v>
      </c>
      <c r="AJ136">
        <v>1</v>
      </c>
      <c r="AK136">
        <v>53</v>
      </c>
      <c r="AL136" t="s">
        <v>1202</v>
      </c>
      <c r="AM136" t="s">
        <v>1203</v>
      </c>
      <c r="AN136" t="s">
        <v>1204</v>
      </c>
      <c r="AO136" t="s">
        <v>2425</v>
      </c>
      <c r="AP136" t="s">
        <v>2426</v>
      </c>
      <c r="AQ136" t="s">
        <v>74</v>
      </c>
      <c r="AR136" t="s">
        <v>2416</v>
      </c>
      <c r="AS136" t="s">
        <v>2427</v>
      </c>
      <c r="AT136" t="s">
        <v>1184</v>
      </c>
      <c r="AU136">
        <v>2007</v>
      </c>
      <c r="AV136">
        <v>116</v>
      </c>
      <c r="AW136">
        <v>8</v>
      </c>
      <c r="AX136" t="s">
        <v>74</v>
      </c>
      <c r="AY136" t="s">
        <v>74</v>
      </c>
      <c r="AZ136" t="s">
        <v>74</v>
      </c>
      <c r="BA136" t="s">
        <v>74</v>
      </c>
      <c r="BB136">
        <v>1331</v>
      </c>
      <c r="BC136">
        <v>1342</v>
      </c>
      <c r="BD136" t="s">
        <v>74</v>
      </c>
      <c r="BE136" t="s">
        <v>2428</v>
      </c>
      <c r="BF136" t="str">
        <f>HYPERLINK("http://dx.doi.org/10.1111/j.2007.0030-1299.15893.x","http://dx.doi.org/10.1111/j.2007.0030-1299.15893.x")</f>
        <v>http://dx.doi.org/10.1111/j.2007.0030-1299.15893.x</v>
      </c>
      <c r="BG136" t="s">
        <v>74</v>
      </c>
      <c r="BH136" t="s">
        <v>74</v>
      </c>
      <c r="BI136">
        <v>12</v>
      </c>
      <c r="BJ136" t="s">
        <v>910</v>
      </c>
      <c r="BK136" t="s">
        <v>98</v>
      </c>
      <c r="BL136" t="s">
        <v>911</v>
      </c>
      <c r="BM136" t="s">
        <v>2429</v>
      </c>
      <c r="BN136" t="s">
        <v>74</v>
      </c>
      <c r="BO136" t="s">
        <v>74</v>
      </c>
      <c r="BP136" t="s">
        <v>74</v>
      </c>
      <c r="BQ136" t="s">
        <v>74</v>
      </c>
      <c r="BR136" t="s">
        <v>101</v>
      </c>
      <c r="BS136" t="s">
        <v>2430</v>
      </c>
      <c r="BT136" t="str">
        <f>HYPERLINK("https%3A%2F%2Fwww.webofscience.com%2Fwos%2Fwoscc%2Ffull-record%2FWOS:000248681100008","View Full Record in Web of Science")</f>
        <v>View Full Record in Web of Science</v>
      </c>
    </row>
    <row r="137" spans="1:72" x14ac:dyDescent="0.15">
      <c r="A137" t="s">
        <v>72</v>
      </c>
      <c r="B137" t="s">
        <v>2431</v>
      </c>
      <c r="C137" t="s">
        <v>74</v>
      </c>
      <c r="D137" t="s">
        <v>74</v>
      </c>
      <c r="E137" t="s">
        <v>74</v>
      </c>
      <c r="F137" t="s">
        <v>2432</v>
      </c>
      <c r="G137" t="s">
        <v>74</v>
      </c>
      <c r="H137" t="s">
        <v>74</v>
      </c>
      <c r="I137" t="s">
        <v>2433</v>
      </c>
      <c r="J137" t="s">
        <v>2434</v>
      </c>
      <c r="K137" t="s">
        <v>74</v>
      </c>
      <c r="L137" t="s">
        <v>74</v>
      </c>
      <c r="M137" t="s">
        <v>78</v>
      </c>
      <c r="N137" t="s">
        <v>248</v>
      </c>
      <c r="O137" t="s">
        <v>74</v>
      </c>
      <c r="P137" t="s">
        <v>74</v>
      </c>
      <c r="Q137" t="s">
        <v>74</v>
      </c>
      <c r="R137" t="s">
        <v>74</v>
      </c>
      <c r="S137" t="s">
        <v>74</v>
      </c>
      <c r="T137" t="s">
        <v>2435</v>
      </c>
      <c r="U137" t="s">
        <v>2436</v>
      </c>
      <c r="V137" t="s">
        <v>2437</v>
      </c>
      <c r="W137" t="s">
        <v>2438</v>
      </c>
      <c r="X137" t="s">
        <v>2439</v>
      </c>
      <c r="Y137" t="s">
        <v>2440</v>
      </c>
      <c r="Z137" t="s">
        <v>2441</v>
      </c>
      <c r="AA137" t="s">
        <v>74</v>
      </c>
      <c r="AB137" t="s">
        <v>74</v>
      </c>
      <c r="AC137" t="s">
        <v>74</v>
      </c>
      <c r="AD137" t="s">
        <v>74</v>
      </c>
      <c r="AE137" t="s">
        <v>74</v>
      </c>
      <c r="AF137" t="s">
        <v>74</v>
      </c>
      <c r="AG137">
        <v>96</v>
      </c>
      <c r="AH137">
        <v>12</v>
      </c>
      <c r="AI137">
        <v>14</v>
      </c>
      <c r="AJ137">
        <v>2</v>
      </c>
      <c r="AK137">
        <v>18</v>
      </c>
      <c r="AL137" t="s">
        <v>1592</v>
      </c>
      <c r="AM137" t="s">
        <v>1593</v>
      </c>
      <c r="AN137" t="s">
        <v>1594</v>
      </c>
      <c r="AO137" t="s">
        <v>2442</v>
      </c>
      <c r="AP137" t="s">
        <v>2443</v>
      </c>
      <c r="AQ137" t="s">
        <v>74</v>
      </c>
      <c r="AR137" t="s">
        <v>2444</v>
      </c>
      <c r="AS137" t="s">
        <v>2445</v>
      </c>
      <c r="AT137" t="s">
        <v>1184</v>
      </c>
      <c r="AU137">
        <v>2007</v>
      </c>
      <c r="AV137">
        <v>30</v>
      </c>
      <c r="AW137">
        <v>9</v>
      </c>
      <c r="AX137" t="s">
        <v>74</v>
      </c>
      <c r="AY137" t="s">
        <v>74</v>
      </c>
      <c r="AZ137" t="s">
        <v>74</v>
      </c>
      <c r="BA137" t="s">
        <v>74</v>
      </c>
      <c r="BB137">
        <v>1083</v>
      </c>
      <c r="BC137">
        <v>1097</v>
      </c>
      <c r="BD137" t="s">
        <v>74</v>
      </c>
      <c r="BE137" t="s">
        <v>2446</v>
      </c>
      <c r="BF137" t="str">
        <f>HYPERLINK("http://dx.doi.org/10.1007/s00300-007-0276-0","http://dx.doi.org/10.1007/s00300-007-0276-0")</f>
        <v>http://dx.doi.org/10.1007/s00300-007-0276-0</v>
      </c>
      <c r="BG137" t="s">
        <v>74</v>
      </c>
      <c r="BH137" t="s">
        <v>74</v>
      </c>
      <c r="BI137">
        <v>15</v>
      </c>
      <c r="BJ137" t="s">
        <v>97</v>
      </c>
      <c r="BK137" t="s">
        <v>98</v>
      </c>
      <c r="BL137" t="s">
        <v>99</v>
      </c>
      <c r="BM137" t="s">
        <v>2447</v>
      </c>
      <c r="BN137" t="s">
        <v>74</v>
      </c>
      <c r="BO137" t="s">
        <v>797</v>
      </c>
      <c r="BP137" t="s">
        <v>74</v>
      </c>
      <c r="BQ137" t="s">
        <v>74</v>
      </c>
      <c r="BR137" t="s">
        <v>101</v>
      </c>
      <c r="BS137" t="s">
        <v>2448</v>
      </c>
      <c r="BT137" t="str">
        <f>HYPERLINK("https%3A%2F%2Fwww.webofscience.com%2Fwos%2Fwoscc%2Ffull-record%2FWOS:000247971800001","View Full Record in Web of Science")</f>
        <v>View Full Record in Web of Science</v>
      </c>
    </row>
    <row r="138" spans="1:72" x14ac:dyDescent="0.15">
      <c r="A138" t="s">
        <v>72</v>
      </c>
      <c r="B138" t="s">
        <v>2449</v>
      </c>
      <c r="C138" t="s">
        <v>74</v>
      </c>
      <c r="D138" t="s">
        <v>74</v>
      </c>
      <c r="E138" t="s">
        <v>74</v>
      </c>
      <c r="F138" t="s">
        <v>2450</v>
      </c>
      <c r="G138" t="s">
        <v>74</v>
      </c>
      <c r="H138" t="s">
        <v>74</v>
      </c>
      <c r="I138" t="s">
        <v>2451</v>
      </c>
      <c r="J138" t="s">
        <v>2434</v>
      </c>
      <c r="K138" t="s">
        <v>74</v>
      </c>
      <c r="L138" t="s">
        <v>74</v>
      </c>
      <c r="M138" t="s">
        <v>78</v>
      </c>
      <c r="N138" t="s">
        <v>79</v>
      </c>
      <c r="O138" t="s">
        <v>74</v>
      </c>
      <c r="P138" t="s">
        <v>74</v>
      </c>
      <c r="Q138" t="s">
        <v>74</v>
      </c>
      <c r="R138" t="s">
        <v>74</v>
      </c>
      <c r="S138" t="s">
        <v>74</v>
      </c>
      <c r="T138" t="s">
        <v>2452</v>
      </c>
      <c r="U138" t="s">
        <v>2453</v>
      </c>
      <c r="V138" t="s">
        <v>2454</v>
      </c>
      <c r="W138" t="s">
        <v>2455</v>
      </c>
      <c r="X138" t="s">
        <v>2456</v>
      </c>
      <c r="Y138" t="s">
        <v>2457</v>
      </c>
      <c r="Z138" t="s">
        <v>2458</v>
      </c>
      <c r="AA138" t="s">
        <v>2459</v>
      </c>
      <c r="AB138" t="s">
        <v>2460</v>
      </c>
      <c r="AC138" t="s">
        <v>2461</v>
      </c>
      <c r="AD138" t="s">
        <v>361</v>
      </c>
      <c r="AE138" t="s">
        <v>74</v>
      </c>
      <c r="AF138" t="s">
        <v>74</v>
      </c>
      <c r="AG138">
        <v>24</v>
      </c>
      <c r="AH138">
        <v>15</v>
      </c>
      <c r="AI138">
        <v>16</v>
      </c>
      <c r="AJ138">
        <v>0</v>
      </c>
      <c r="AK138">
        <v>7</v>
      </c>
      <c r="AL138" t="s">
        <v>1592</v>
      </c>
      <c r="AM138" t="s">
        <v>1593</v>
      </c>
      <c r="AN138" t="s">
        <v>2406</v>
      </c>
      <c r="AO138" t="s">
        <v>2442</v>
      </c>
      <c r="AP138" t="s">
        <v>2443</v>
      </c>
      <c r="AQ138" t="s">
        <v>74</v>
      </c>
      <c r="AR138" t="s">
        <v>2444</v>
      </c>
      <c r="AS138" t="s">
        <v>2445</v>
      </c>
      <c r="AT138" t="s">
        <v>1184</v>
      </c>
      <c r="AU138">
        <v>2007</v>
      </c>
      <c r="AV138">
        <v>30</v>
      </c>
      <c r="AW138">
        <v>9</v>
      </c>
      <c r="AX138" t="s">
        <v>74</v>
      </c>
      <c r="AY138" t="s">
        <v>74</v>
      </c>
      <c r="AZ138" t="s">
        <v>74</v>
      </c>
      <c r="BA138" t="s">
        <v>74</v>
      </c>
      <c r="BB138">
        <v>1115</v>
      </c>
      <c r="BC138">
        <v>1122</v>
      </c>
      <c r="BD138" t="s">
        <v>74</v>
      </c>
      <c r="BE138" t="s">
        <v>2462</v>
      </c>
      <c r="BF138" t="str">
        <f>HYPERLINK("http://dx.doi.org/10.1007/s00300-007-0269-z","http://dx.doi.org/10.1007/s00300-007-0269-z")</f>
        <v>http://dx.doi.org/10.1007/s00300-007-0269-z</v>
      </c>
      <c r="BG138" t="s">
        <v>74</v>
      </c>
      <c r="BH138" t="s">
        <v>74</v>
      </c>
      <c r="BI138">
        <v>8</v>
      </c>
      <c r="BJ138" t="s">
        <v>97</v>
      </c>
      <c r="BK138" t="s">
        <v>98</v>
      </c>
      <c r="BL138" t="s">
        <v>99</v>
      </c>
      <c r="BM138" t="s">
        <v>2447</v>
      </c>
      <c r="BN138" t="s">
        <v>74</v>
      </c>
      <c r="BO138" t="s">
        <v>223</v>
      </c>
      <c r="BP138" t="s">
        <v>74</v>
      </c>
      <c r="BQ138" t="s">
        <v>74</v>
      </c>
      <c r="BR138" t="s">
        <v>101</v>
      </c>
      <c r="BS138" t="s">
        <v>2463</v>
      </c>
      <c r="BT138" t="str">
        <f>HYPERLINK("https%3A%2F%2Fwww.webofscience.com%2Fwos%2Fwoscc%2Ffull-record%2FWOS:000247971800003","View Full Record in Web of Science")</f>
        <v>View Full Record in Web of Science</v>
      </c>
    </row>
    <row r="139" spans="1:72" x14ac:dyDescent="0.15">
      <c r="A139" t="s">
        <v>72</v>
      </c>
      <c r="B139" t="s">
        <v>2464</v>
      </c>
      <c r="C139" t="s">
        <v>74</v>
      </c>
      <c r="D139" t="s">
        <v>74</v>
      </c>
      <c r="E139" t="s">
        <v>74</v>
      </c>
      <c r="F139" t="s">
        <v>2465</v>
      </c>
      <c r="G139" t="s">
        <v>74</v>
      </c>
      <c r="H139" t="s">
        <v>74</v>
      </c>
      <c r="I139" t="s">
        <v>2466</v>
      </c>
      <c r="J139" t="s">
        <v>2434</v>
      </c>
      <c r="K139" t="s">
        <v>74</v>
      </c>
      <c r="L139" t="s">
        <v>74</v>
      </c>
      <c r="M139" t="s">
        <v>78</v>
      </c>
      <c r="N139" t="s">
        <v>79</v>
      </c>
      <c r="O139" t="s">
        <v>74</v>
      </c>
      <c r="P139" t="s">
        <v>74</v>
      </c>
      <c r="Q139" t="s">
        <v>74</v>
      </c>
      <c r="R139" t="s">
        <v>74</v>
      </c>
      <c r="S139" t="s">
        <v>74</v>
      </c>
      <c r="T139" t="s">
        <v>2467</v>
      </c>
      <c r="U139" t="s">
        <v>2468</v>
      </c>
      <c r="V139" t="s">
        <v>2469</v>
      </c>
      <c r="W139" t="s">
        <v>2470</v>
      </c>
      <c r="X139" t="s">
        <v>2471</v>
      </c>
      <c r="Y139" t="s">
        <v>2472</v>
      </c>
      <c r="Z139" t="s">
        <v>2473</v>
      </c>
      <c r="AA139" t="s">
        <v>74</v>
      </c>
      <c r="AB139" t="s">
        <v>74</v>
      </c>
      <c r="AC139" t="s">
        <v>74</v>
      </c>
      <c r="AD139" t="s">
        <v>74</v>
      </c>
      <c r="AE139" t="s">
        <v>74</v>
      </c>
      <c r="AF139" t="s">
        <v>74</v>
      </c>
      <c r="AG139">
        <v>79</v>
      </c>
      <c r="AH139">
        <v>10</v>
      </c>
      <c r="AI139">
        <v>19</v>
      </c>
      <c r="AJ139">
        <v>1</v>
      </c>
      <c r="AK139">
        <v>19</v>
      </c>
      <c r="AL139" t="s">
        <v>1592</v>
      </c>
      <c r="AM139" t="s">
        <v>1593</v>
      </c>
      <c r="AN139" t="s">
        <v>1594</v>
      </c>
      <c r="AO139" t="s">
        <v>2442</v>
      </c>
      <c r="AP139" t="s">
        <v>2443</v>
      </c>
      <c r="AQ139" t="s">
        <v>74</v>
      </c>
      <c r="AR139" t="s">
        <v>2444</v>
      </c>
      <c r="AS139" t="s">
        <v>2445</v>
      </c>
      <c r="AT139" t="s">
        <v>1184</v>
      </c>
      <c r="AU139">
        <v>2007</v>
      </c>
      <c r="AV139">
        <v>30</v>
      </c>
      <c r="AW139">
        <v>9</v>
      </c>
      <c r="AX139" t="s">
        <v>74</v>
      </c>
      <c r="AY139" t="s">
        <v>74</v>
      </c>
      <c r="AZ139" t="s">
        <v>74</v>
      </c>
      <c r="BA139" t="s">
        <v>74</v>
      </c>
      <c r="BB139">
        <v>1159</v>
      </c>
      <c r="BC139">
        <v>1172</v>
      </c>
      <c r="BD139" t="s">
        <v>74</v>
      </c>
      <c r="BE139" t="s">
        <v>2474</v>
      </c>
      <c r="BF139" t="str">
        <f>HYPERLINK("http://dx.doi.org/10.1007/s00300-007-0273-3","http://dx.doi.org/10.1007/s00300-007-0273-3")</f>
        <v>http://dx.doi.org/10.1007/s00300-007-0273-3</v>
      </c>
      <c r="BG139" t="s">
        <v>74</v>
      </c>
      <c r="BH139" t="s">
        <v>74</v>
      </c>
      <c r="BI139">
        <v>14</v>
      </c>
      <c r="BJ139" t="s">
        <v>97</v>
      </c>
      <c r="BK139" t="s">
        <v>98</v>
      </c>
      <c r="BL139" t="s">
        <v>99</v>
      </c>
      <c r="BM139" t="s">
        <v>2447</v>
      </c>
      <c r="BN139" t="s">
        <v>74</v>
      </c>
      <c r="BO139" t="s">
        <v>74</v>
      </c>
      <c r="BP139" t="s">
        <v>74</v>
      </c>
      <c r="BQ139" t="s">
        <v>74</v>
      </c>
      <c r="BR139" t="s">
        <v>101</v>
      </c>
      <c r="BS139" t="s">
        <v>2475</v>
      </c>
      <c r="BT139" t="str">
        <f>HYPERLINK("https%3A%2F%2Fwww.webofscience.com%2Fwos%2Fwoscc%2Ffull-record%2FWOS:000247971800006","View Full Record in Web of Science")</f>
        <v>View Full Record in Web of Science</v>
      </c>
    </row>
    <row r="140" spans="1:72" x14ac:dyDescent="0.15">
      <c r="A140" t="s">
        <v>72</v>
      </c>
      <c r="B140" t="s">
        <v>2476</v>
      </c>
      <c r="C140" t="s">
        <v>74</v>
      </c>
      <c r="D140" t="s">
        <v>74</v>
      </c>
      <c r="E140" t="s">
        <v>74</v>
      </c>
      <c r="F140" t="s">
        <v>2477</v>
      </c>
      <c r="G140" t="s">
        <v>74</v>
      </c>
      <c r="H140" t="s">
        <v>74</v>
      </c>
      <c r="I140" t="s">
        <v>2478</v>
      </c>
      <c r="J140" t="s">
        <v>2434</v>
      </c>
      <c r="K140" t="s">
        <v>74</v>
      </c>
      <c r="L140" t="s">
        <v>74</v>
      </c>
      <c r="M140" t="s">
        <v>78</v>
      </c>
      <c r="N140" t="s">
        <v>79</v>
      </c>
      <c r="O140" t="s">
        <v>74</v>
      </c>
      <c r="P140" t="s">
        <v>74</v>
      </c>
      <c r="Q140" t="s">
        <v>74</v>
      </c>
      <c r="R140" t="s">
        <v>74</v>
      </c>
      <c r="S140" t="s">
        <v>74</v>
      </c>
      <c r="T140" t="s">
        <v>2479</v>
      </c>
      <c r="U140" t="s">
        <v>2480</v>
      </c>
      <c r="V140" t="s">
        <v>2481</v>
      </c>
      <c r="W140" t="s">
        <v>2482</v>
      </c>
      <c r="X140" t="s">
        <v>2483</v>
      </c>
      <c r="Y140" t="s">
        <v>2484</v>
      </c>
      <c r="Z140" t="s">
        <v>2485</v>
      </c>
      <c r="AA140" t="s">
        <v>74</v>
      </c>
      <c r="AB140" t="s">
        <v>74</v>
      </c>
      <c r="AC140" t="s">
        <v>74</v>
      </c>
      <c r="AD140" t="s">
        <v>74</v>
      </c>
      <c r="AE140" t="s">
        <v>74</v>
      </c>
      <c r="AF140" t="s">
        <v>74</v>
      </c>
      <c r="AG140">
        <v>47</v>
      </c>
      <c r="AH140">
        <v>5</v>
      </c>
      <c r="AI140">
        <v>5</v>
      </c>
      <c r="AJ140">
        <v>0</v>
      </c>
      <c r="AK140">
        <v>16</v>
      </c>
      <c r="AL140" t="s">
        <v>1592</v>
      </c>
      <c r="AM140" t="s">
        <v>1593</v>
      </c>
      <c r="AN140" t="s">
        <v>1594</v>
      </c>
      <c r="AO140" t="s">
        <v>2442</v>
      </c>
      <c r="AP140" t="s">
        <v>2443</v>
      </c>
      <c r="AQ140" t="s">
        <v>74</v>
      </c>
      <c r="AR140" t="s">
        <v>2444</v>
      </c>
      <c r="AS140" t="s">
        <v>2445</v>
      </c>
      <c r="AT140" t="s">
        <v>1184</v>
      </c>
      <c r="AU140">
        <v>2007</v>
      </c>
      <c r="AV140">
        <v>30</v>
      </c>
      <c r="AW140">
        <v>9</v>
      </c>
      <c r="AX140" t="s">
        <v>74</v>
      </c>
      <c r="AY140" t="s">
        <v>74</v>
      </c>
      <c r="AZ140" t="s">
        <v>74</v>
      </c>
      <c r="BA140" t="s">
        <v>74</v>
      </c>
      <c r="BB140">
        <v>1173</v>
      </c>
      <c r="BC140">
        <v>1182</v>
      </c>
      <c r="BD140" t="s">
        <v>74</v>
      </c>
      <c r="BE140" t="s">
        <v>2486</v>
      </c>
      <c r="BF140" t="str">
        <f>HYPERLINK("http://dx.doi.org/10.1007/s00300-007-0274-2","http://dx.doi.org/10.1007/s00300-007-0274-2")</f>
        <v>http://dx.doi.org/10.1007/s00300-007-0274-2</v>
      </c>
      <c r="BG140" t="s">
        <v>74</v>
      </c>
      <c r="BH140" t="s">
        <v>74</v>
      </c>
      <c r="BI140">
        <v>10</v>
      </c>
      <c r="BJ140" t="s">
        <v>97</v>
      </c>
      <c r="BK140" t="s">
        <v>98</v>
      </c>
      <c r="BL140" t="s">
        <v>99</v>
      </c>
      <c r="BM140" t="s">
        <v>2447</v>
      </c>
      <c r="BN140" t="s">
        <v>74</v>
      </c>
      <c r="BO140" t="s">
        <v>74</v>
      </c>
      <c r="BP140" t="s">
        <v>74</v>
      </c>
      <c r="BQ140" t="s">
        <v>74</v>
      </c>
      <c r="BR140" t="s">
        <v>101</v>
      </c>
      <c r="BS140" t="s">
        <v>2487</v>
      </c>
      <c r="BT140" t="str">
        <f>HYPERLINK("https%3A%2F%2Fwww.webofscience.com%2Fwos%2Fwoscc%2Ffull-record%2FWOS:000247971800007","View Full Record in Web of Science")</f>
        <v>View Full Record in Web of Science</v>
      </c>
    </row>
    <row r="141" spans="1:72" x14ac:dyDescent="0.15">
      <c r="A141" t="s">
        <v>72</v>
      </c>
      <c r="B141" t="s">
        <v>2488</v>
      </c>
      <c r="C141" t="s">
        <v>74</v>
      </c>
      <c r="D141" t="s">
        <v>74</v>
      </c>
      <c r="E141" t="s">
        <v>74</v>
      </c>
      <c r="F141" t="s">
        <v>2489</v>
      </c>
      <c r="G141" t="s">
        <v>74</v>
      </c>
      <c r="H141" t="s">
        <v>74</v>
      </c>
      <c r="I141" t="s">
        <v>2490</v>
      </c>
      <c r="J141" t="s">
        <v>2434</v>
      </c>
      <c r="K141" t="s">
        <v>74</v>
      </c>
      <c r="L141" t="s">
        <v>74</v>
      </c>
      <c r="M141" t="s">
        <v>78</v>
      </c>
      <c r="N141" t="s">
        <v>79</v>
      </c>
      <c r="O141" t="s">
        <v>74</v>
      </c>
      <c r="P141" t="s">
        <v>74</v>
      </c>
      <c r="Q141" t="s">
        <v>74</v>
      </c>
      <c r="R141" t="s">
        <v>74</v>
      </c>
      <c r="S141" t="s">
        <v>74</v>
      </c>
      <c r="T141" t="s">
        <v>74</v>
      </c>
      <c r="U141" t="s">
        <v>2491</v>
      </c>
      <c r="V141" t="s">
        <v>2492</v>
      </c>
      <c r="W141" t="s">
        <v>2493</v>
      </c>
      <c r="X141" t="s">
        <v>2494</v>
      </c>
      <c r="Y141" t="s">
        <v>2495</v>
      </c>
      <c r="Z141" t="s">
        <v>2496</v>
      </c>
      <c r="AA141" t="s">
        <v>2497</v>
      </c>
      <c r="AB141" t="s">
        <v>2498</v>
      </c>
      <c r="AC141" t="s">
        <v>74</v>
      </c>
      <c r="AD141" t="s">
        <v>74</v>
      </c>
      <c r="AE141" t="s">
        <v>74</v>
      </c>
      <c r="AF141" t="s">
        <v>74</v>
      </c>
      <c r="AG141">
        <v>51</v>
      </c>
      <c r="AH141">
        <v>27</v>
      </c>
      <c r="AI141">
        <v>28</v>
      </c>
      <c r="AJ141">
        <v>0</v>
      </c>
      <c r="AK141">
        <v>18</v>
      </c>
      <c r="AL141" t="s">
        <v>1592</v>
      </c>
      <c r="AM141" t="s">
        <v>1593</v>
      </c>
      <c r="AN141" t="s">
        <v>1594</v>
      </c>
      <c r="AO141" t="s">
        <v>2442</v>
      </c>
      <c r="AP141" t="s">
        <v>2443</v>
      </c>
      <c r="AQ141" t="s">
        <v>74</v>
      </c>
      <c r="AR141" t="s">
        <v>2444</v>
      </c>
      <c r="AS141" t="s">
        <v>2445</v>
      </c>
      <c r="AT141" t="s">
        <v>1184</v>
      </c>
      <c r="AU141">
        <v>2007</v>
      </c>
      <c r="AV141">
        <v>30</v>
      </c>
      <c r="AW141">
        <v>9</v>
      </c>
      <c r="AX141" t="s">
        <v>74</v>
      </c>
      <c r="AY141" t="s">
        <v>74</v>
      </c>
      <c r="AZ141" t="s">
        <v>74</v>
      </c>
      <c r="BA141" t="s">
        <v>74</v>
      </c>
      <c r="BB141">
        <v>1195</v>
      </c>
      <c r="BC141">
        <v>1201</v>
      </c>
      <c r="BD141" t="s">
        <v>74</v>
      </c>
      <c r="BE141" t="s">
        <v>2499</v>
      </c>
      <c r="BF141" t="str">
        <f>HYPERLINK("http://dx.doi.org/10.1007/s00300-007-0277-z","http://dx.doi.org/10.1007/s00300-007-0277-z")</f>
        <v>http://dx.doi.org/10.1007/s00300-007-0277-z</v>
      </c>
      <c r="BG141" t="s">
        <v>74</v>
      </c>
      <c r="BH141" t="s">
        <v>74</v>
      </c>
      <c r="BI141">
        <v>7</v>
      </c>
      <c r="BJ141" t="s">
        <v>97</v>
      </c>
      <c r="BK141" t="s">
        <v>98</v>
      </c>
      <c r="BL141" t="s">
        <v>99</v>
      </c>
      <c r="BM141" t="s">
        <v>2447</v>
      </c>
      <c r="BN141" t="s">
        <v>74</v>
      </c>
      <c r="BO141" t="s">
        <v>74</v>
      </c>
      <c r="BP141" t="s">
        <v>74</v>
      </c>
      <c r="BQ141" t="s">
        <v>74</v>
      </c>
      <c r="BR141" t="s">
        <v>101</v>
      </c>
      <c r="BS141" t="s">
        <v>2500</v>
      </c>
      <c r="BT141" t="str">
        <f>HYPERLINK("https%3A%2F%2Fwww.webofscience.com%2Fwos%2Fwoscc%2Ffull-record%2FWOS:000247971800009","View Full Record in Web of Science")</f>
        <v>View Full Record in Web of Science</v>
      </c>
    </row>
    <row r="142" spans="1:72" x14ac:dyDescent="0.15">
      <c r="A142" t="s">
        <v>72</v>
      </c>
      <c r="B142" t="s">
        <v>2501</v>
      </c>
      <c r="C142" t="s">
        <v>74</v>
      </c>
      <c r="D142" t="s">
        <v>74</v>
      </c>
      <c r="E142" t="s">
        <v>74</v>
      </c>
      <c r="F142" t="s">
        <v>2502</v>
      </c>
      <c r="G142" t="s">
        <v>74</v>
      </c>
      <c r="H142" t="s">
        <v>74</v>
      </c>
      <c r="I142" t="s">
        <v>2503</v>
      </c>
      <c r="J142" t="s">
        <v>2434</v>
      </c>
      <c r="K142" t="s">
        <v>74</v>
      </c>
      <c r="L142" t="s">
        <v>74</v>
      </c>
      <c r="M142" t="s">
        <v>78</v>
      </c>
      <c r="N142" t="s">
        <v>79</v>
      </c>
      <c r="O142" t="s">
        <v>74</v>
      </c>
      <c r="P142" t="s">
        <v>74</v>
      </c>
      <c r="Q142" t="s">
        <v>74</v>
      </c>
      <c r="R142" t="s">
        <v>74</v>
      </c>
      <c r="S142" t="s">
        <v>74</v>
      </c>
      <c r="T142" t="s">
        <v>2504</v>
      </c>
      <c r="U142" t="s">
        <v>2505</v>
      </c>
      <c r="V142" t="s">
        <v>2506</v>
      </c>
      <c r="W142" t="s">
        <v>2507</v>
      </c>
      <c r="X142" t="s">
        <v>2508</v>
      </c>
      <c r="Y142" t="s">
        <v>2509</v>
      </c>
      <c r="Z142" t="s">
        <v>2510</v>
      </c>
      <c r="AA142" t="s">
        <v>2511</v>
      </c>
      <c r="AB142" t="s">
        <v>74</v>
      </c>
      <c r="AC142" t="s">
        <v>74</v>
      </c>
      <c r="AD142" t="s">
        <v>74</v>
      </c>
      <c r="AE142" t="s">
        <v>74</v>
      </c>
      <c r="AF142" t="s">
        <v>74</v>
      </c>
      <c r="AG142">
        <v>48</v>
      </c>
      <c r="AH142">
        <v>41</v>
      </c>
      <c r="AI142">
        <v>44</v>
      </c>
      <c r="AJ142">
        <v>1</v>
      </c>
      <c r="AK142">
        <v>18</v>
      </c>
      <c r="AL142" t="s">
        <v>1592</v>
      </c>
      <c r="AM142" t="s">
        <v>1593</v>
      </c>
      <c r="AN142" t="s">
        <v>2512</v>
      </c>
      <c r="AO142" t="s">
        <v>2442</v>
      </c>
      <c r="AP142" t="s">
        <v>74</v>
      </c>
      <c r="AQ142" t="s">
        <v>74</v>
      </c>
      <c r="AR142" t="s">
        <v>2444</v>
      </c>
      <c r="AS142" t="s">
        <v>2445</v>
      </c>
      <c r="AT142" t="s">
        <v>1184</v>
      </c>
      <c r="AU142">
        <v>2007</v>
      </c>
      <c r="AV142">
        <v>30</v>
      </c>
      <c r="AW142">
        <v>9</v>
      </c>
      <c r="AX142" t="s">
        <v>74</v>
      </c>
      <c r="AY142" t="s">
        <v>74</v>
      </c>
      <c r="AZ142" t="s">
        <v>74</v>
      </c>
      <c r="BA142" t="s">
        <v>74</v>
      </c>
      <c r="BB142">
        <v>1203</v>
      </c>
      <c r="BC142">
        <v>1212</v>
      </c>
      <c r="BD142" t="s">
        <v>74</v>
      </c>
      <c r="BE142" t="s">
        <v>2513</v>
      </c>
      <c r="BF142" t="str">
        <f>HYPERLINK("http://dx.doi.org/10.1007/s00300-007-0278-y","http://dx.doi.org/10.1007/s00300-007-0278-y")</f>
        <v>http://dx.doi.org/10.1007/s00300-007-0278-y</v>
      </c>
      <c r="BG142" t="s">
        <v>74</v>
      </c>
      <c r="BH142" t="s">
        <v>74</v>
      </c>
      <c r="BI142">
        <v>10</v>
      </c>
      <c r="BJ142" t="s">
        <v>97</v>
      </c>
      <c r="BK142" t="s">
        <v>98</v>
      </c>
      <c r="BL142" t="s">
        <v>99</v>
      </c>
      <c r="BM142" t="s">
        <v>2447</v>
      </c>
      <c r="BN142" t="s">
        <v>74</v>
      </c>
      <c r="BO142" t="s">
        <v>1249</v>
      </c>
      <c r="BP142" t="s">
        <v>74</v>
      </c>
      <c r="BQ142" t="s">
        <v>74</v>
      </c>
      <c r="BR142" t="s">
        <v>101</v>
      </c>
      <c r="BS142" t="s">
        <v>2514</v>
      </c>
      <c r="BT142" t="str">
        <f>HYPERLINK("https%3A%2F%2Fwww.webofscience.com%2Fwos%2Fwoscc%2Ffull-record%2FWOS:000247971800010","View Full Record in Web of Science")</f>
        <v>View Full Record in Web of Science</v>
      </c>
    </row>
    <row r="143" spans="1:72" x14ac:dyDescent="0.15">
      <c r="A143" t="s">
        <v>72</v>
      </c>
      <c r="B143" t="s">
        <v>2515</v>
      </c>
      <c r="C143" t="s">
        <v>74</v>
      </c>
      <c r="D143" t="s">
        <v>74</v>
      </c>
      <c r="E143" t="s">
        <v>74</v>
      </c>
      <c r="F143" t="s">
        <v>2516</v>
      </c>
      <c r="G143" t="s">
        <v>74</v>
      </c>
      <c r="H143" t="s">
        <v>74</v>
      </c>
      <c r="I143" t="s">
        <v>2517</v>
      </c>
      <c r="J143" t="s">
        <v>2434</v>
      </c>
      <c r="K143" t="s">
        <v>74</v>
      </c>
      <c r="L143" t="s">
        <v>74</v>
      </c>
      <c r="M143" t="s">
        <v>78</v>
      </c>
      <c r="N143" t="s">
        <v>79</v>
      </c>
      <c r="O143" t="s">
        <v>74</v>
      </c>
      <c r="P143" t="s">
        <v>74</v>
      </c>
      <c r="Q143" t="s">
        <v>74</v>
      </c>
      <c r="R143" t="s">
        <v>74</v>
      </c>
      <c r="S143" t="s">
        <v>74</v>
      </c>
      <c r="T143" t="s">
        <v>2518</v>
      </c>
      <c r="U143" t="s">
        <v>2519</v>
      </c>
      <c r="V143" t="s">
        <v>2520</v>
      </c>
      <c r="W143" t="s">
        <v>2521</v>
      </c>
      <c r="X143" t="s">
        <v>2522</v>
      </c>
      <c r="Y143" t="s">
        <v>2523</v>
      </c>
      <c r="Z143" t="s">
        <v>2524</v>
      </c>
      <c r="AA143" t="s">
        <v>2525</v>
      </c>
      <c r="AB143" t="s">
        <v>2526</v>
      </c>
      <c r="AC143" t="s">
        <v>74</v>
      </c>
      <c r="AD143" t="s">
        <v>74</v>
      </c>
      <c r="AE143" t="s">
        <v>74</v>
      </c>
      <c r="AF143" t="s">
        <v>74</v>
      </c>
      <c r="AG143">
        <v>26</v>
      </c>
      <c r="AH143">
        <v>13</v>
      </c>
      <c r="AI143">
        <v>13</v>
      </c>
      <c r="AJ143">
        <v>0</v>
      </c>
      <c r="AK143">
        <v>6</v>
      </c>
      <c r="AL143" t="s">
        <v>1592</v>
      </c>
      <c r="AM143" t="s">
        <v>1593</v>
      </c>
      <c r="AN143" t="s">
        <v>2406</v>
      </c>
      <c r="AO143" t="s">
        <v>2442</v>
      </c>
      <c r="AP143" t="s">
        <v>2443</v>
      </c>
      <c r="AQ143" t="s">
        <v>74</v>
      </c>
      <c r="AR143" t="s">
        <v>2444</v>
      </c>
      <c r="AS143" t="s">
        <v>2445</v>
      </c>
      <c r="AT143" t="s">
        <v>1184</v>
      </c>
      <c r="AU143">
        <v>2007</v>
      </c>
      <c r="AV143">
        <v>30</v>
      </c>
      <c r="AW143">
        <v>9</v>
      </c>
      <c r="AX143" t="s">
        <v>74</v>
      </c>
      <c r="AY143" t="s">
        <v>74</v>
      </c>
      <c r="AZ143" t="s">
        <v>74</v>
      </c>
      <c r="BA143" t="s">
        <v>74</v>
      </c>
      <c r="BB143">
        <v>1213</v>
      </c>
      <c r="BC143">
        <v>1218</v>
      </c>
      <c r="BD143" t="s">
        <v>74</v>
      </c>
      <c r="BE143" t="s">
        <v>2527</v>
      </c>
      <c r="BF143" t="str">
        <f>HYPERLINK("http://dx.doi.org/10.1007/s00300-007-0279-x","http://dx.doi.org/10.1007/s00300-007-0279-x")</f>
        <v>http://dx.doi.org/10.1007/s00300-007-0279-x</v>
      </c>
      <c r="BG143" t="s">
        <v>74</v>
      </c>
      <c r="BH143" t="s">
        <v>74</v>
      </c>
      <c r="BI143">
        <v>6</v>
      </c>
      <c r="BJ143" t="s">
        <v>97</v>
      </c>
      <c r="BK143" t="s">
        <v>98</v>
      </c>
      <c r="BL143" t="s">
        <v>99</v>
      </c>
      <c r="BM143" t="s">
        <v>2447</v>
      </c>
      <c r="BN143" t="s">
        <v>74</v>
      </c>
      <c r="BO143" t="s">
        <v>223</v>
      </c>
      <c r="BP143" t="s">
        <v>74</v>
      </c>
      <c r="BQ143" t="s">
        <v>74</v>
      </c>
      <c r="BR143" t="s">
        <v>101</v>
      </c>
      <c r="BS143" t="s">
        <v>2528</v>
      </c>
      <c r="BT143" t="str">
        <f>HYPERLINK("https%3A%2F%2Fwww.webofscience.com%2Fwos%2Fwoscc%2Ffull-record%2FWOS:000247971800011","View Full Record in Web of Science")</f>
        <v>View Full Record in Web of Science</v>
      </c>
    </row>
    <row r="144" spans="1:72" x14ac:dyDescent="0.15">
      <c r="A144" t="s">
        <v>72</v>
      </c>
      <c r="B144" t="s">
        <v>2529</v>
      </c>
      <c r="C144" t="s">
        <v>74</v>
      </c>
      <c r="D144" t="s">
        <v>74</v>
      </c>
      <c r="E144" t="s">
        <v>74</v>
      </c>
      <c r="F144" t="s">
        <v>2530</v>
      </c>
      <c r="G144" t="s">
        <v>74</v>
      </c>
      <c r="H144" t="s">
        <v>74</v>
      </c>
      <c r="I144" t="s">
        <v>2531</v>
      </c>
      <c r="J144" t="s">
        <v>2532</v>
      </c>
      <c r="K144" t="s">
        <v>74</v>
      </c>
      <c r="L144" t="s">
        <v>74</v>
      </c>
      <c r="M144" t="s">
        <v>78</v>
      </c>
      <c r="N144" t="s">
        <v>79</v>
      </c>
      <c r="O144" t="s">
        <v>74</v>
      </c>
      <c r="P144" t="s">
        <v>74</v>
      </c>
      <c r="Q144" t="s">
        <v>74</v>
      </c>
      <c r="R144" t="s">
        <v>74</v>
      </c>
      <c r="S144" t="s">
        <v>74</v>
      </c>
      <c r="T144" t="s">
        <v>2533</v>
      </c>
      <c r="U144" t="s">
        <v>2534</v>
      </c>
      <c r="V144" t="s">
        <v>2535</v>
      </c>
      <c r="W144" t="s">
        <v>2536</v>
      </c>
      <c r="X144" t="s">
        <v>2537</v>
      </c>
      <c r="Y144" t="s">
        <v>2538</v>
      </c>
      <c r="Z144" t="s">
        <v>2539</v>
      </c>
      <c r="AA144" t="s">
        <v>2540</v>
      </c>
      <c r="AB144" t="s">
        <v>2541</v>
      </c>
      <c r="AC144" t="s">
        <v>74</v>
      </c>
      <c r="AD144" t="s">
        <v>74</v>
      </c>
      <c r="AE144" t="s">
        <v>74</v>
      </c>
      <c r="AF144" t="s">
        <v>74</v>
      </c>
      <c r="AG144">
        <v>62</v>
      </c>
      <c r="AH144">
        <v>13</v>
      </c>
      <c r="AI144">
        <v>14</v>
      </c>
      <c r="AJ144">
        <v>0</v>
      </c>
      <c r="AK144">
        <v>7</v>
      </c>
      <c r="AL144" t="s">
        <v>1592</v>
      </c>
      <c r="AM144" t="s">
        <v>1593</v>
      </c>
      <c r="AN144" t="s">
        <v>1594</v>
      </c>
      <c r="AO144" t="s">
        <v>2542</v>
      </c>
      <c r="AP144" t="s">
        <v>2543</v>
      </c>
      <c r="AQ144" t="s">
        <v>74</v>
      </c>
      <c r="AR144" t="s">
        <v>2544</v>
      </c>
      <c r="AS144" t="s">
        <v>2545</v>
      </c>
      <c r="AT144" t="s">
        <v>1184</v>
      </c>
      <c r="AU144">
        <v>2007</v>
      </c>
      <c r="AV144">
        <v>26</v>
      </c>
      <c r="AW144">
        <v>5</v>
      </c>
      <c r="AX144" t="s">
        <v>74</v>
      </c>
      <c r="AY144" t="s">
        <v>74</v>
      </c>
      <c r="AZ144" t="s">
        <v>74</v>
      </c>
      <c r="BA144" t="s">
        <v>74</v>
      </c>
      <c r="BB144">
        <v>335</v>
      </c>
      <c r="BC144">
        <v>348</v>
      </c>
      <c r="BD144" t="s">
        <v>74</v>
      </c>
      <c r="BE144" t="s">
        <v>2546</v>
      </c>
      <c r="BF144" t="str">
        <f>HYPERLINK("http://dx.doi.org/10.1007/s10930-007-9076-1","http://dx.doi.org/10.1007/s10930-007-9076-1")</f>
        <v>http://dx.doi.org/10.1007/s10930-007-9076-1</v>
      </c>
      <c r="BG144" t="s">
        <v>74</v>
      </c>
      <c r="BH144" t="s">
        <v>74</v>
      </c>
      <c r="BI144">
        <v>14</v>
      </c>
      <c r="BJ144" t="s">
        <v>2547</v>
      </c>
      <c r="BK144" t="s">
        <v>98</v>
      </c>
      <c r="BL144" t="s">
        <v>2547</v>
      </c>
      <c r="BM144" t="s">
        <v>2548</v>
      </c>
      <c r="BN144">
        <v>17510781</v>
      </c>
      <c r="BO144" t="s">
        <v>74</v>
      </c>
      <c r="BP144" t="s">
        <v>74</v>
      </c>
      <c r="BQ144" t="s">
        <v>74</v>
      </c>
      <c r="BR144" t="s">
        <v>101</v>
      </c>
      <c r="BS144" t="s">
        <v>2549</v>
      </c>
      <c r="BT144" t="str">
        <f>HYPERLINK("https%3A%2F%2Fwww.webofscience.com%2Fwos%2Fwoscc%2Ffull-record%2FWOS:000247473700006","View Full Record in Web of Science")</f>
        <v>View Full Record in Web of Science</v>
      </c>
    </row>
    <row r="145" spans="1:72" x14ac:dyDescent="0.15">
      <c r="A145" t="s">
        <v>72</v>
      </c>
      <c r="B145" t="s">
        <v>2550</v>
      </c>
      <c r="C145" t="s">
        <v>74</v>
      </c>
      <c r="D145" t="s">
        <v>74</v>
      </c>
      <c r="E145" t="s">
        <v>74</v>
      </c>
      <c r="F145" t="s">
        <v>2551</v>
      </c>
      <c r="G145" t="s">
        <v>74</v>
      </c>
      <c r="H145" t="s">
        <v>74</v>
      </c>
      <c r="I145" t="s">
        <v>2552</v>
      </c>
      <c r="J145" t="s">
        <v>2553</v>
      </c>
      <c r="K145" t="s">
        <v>74</v>
      </c>
      <c r="L145" t="s">
        <v>74</v>
      </c>
      <c r="M145" t="s">
        <v>78</v>
      </c>
      <c r="N145" t="s">
        <v>79</v>
      </c>
      <c r="O145" t="s">
        <v>74</v>
      </c>
      <c r="P145" t="s">
        <v>74</v>
      </c>
      <c r="Q145" t="s">
        <v>74</v>
      </c>
      <c r="R145" t="s">
        <v>74</v>
      </c>
      <c r="S145" t="s">
        <v>74</v>
      </c>
      <c r="T145" t="s">
        <v>74</v>
      </c>
      <c r="U145" t="s">
        <v>2554</v>
      </c>
      <c r="V145" t="s">
        <v>2555</v>
      </c>
      <c r="W145" t="s">
        <v>2556</v>
      </c>
      <c r="X145" t="s">
        <v>2557</v>
      </c>
      <c r="Y145" t="s">
        <v>2558</v>
      </c>
      <c r="Z145" t="s">
        <v>2559</v>
      </c>
      <c r="AA145" t="s">
        <v>2560</v>
      </c>
      <c r="AB145" t="s">
        <v>2561</v>
      </c>
      <c r="AC145" t="s">
        <v>74</v>
      </c>
      <c r="AD145" t="s">
        <v>74</v>
      </c>
      <c r="AE145" t="s">
        <v>74</v>
      </c>
      <c r="AF145" t="s">
        <v>74</v>
      </c>
      <c r="AG145">
        <v>36</v>
      </c>
      <c r="AH145">
        <v>12</v>
      </c>
      <c r="AI145">
        <v>13</v>
      </c>
      <c r="AJ145">
        <v>0</v>
      </c>
      <c r="AK145">
        <v>6</v>
      </c>
      <c r="AL145" t="s">
        <v>1503</v>
      </c>
      <c r="AM145" t="s">
        <v>1504</v>
      </c>
      <c r="AN145" t="s">
        <v>1505</v>
      </c>
      <c r="AO145" t="s">
        <v>2562</v>
      </c>
      <c r="AP145" t="s">
        <v>74</v>
      </c>
      <c r="AQ145" t="s">
        <v>74</v>
      </c>
      <c r="AR145" t="s">
        <v>2563</v>
      </c>
      <c r="AS145" t="s">
        <v>2564</v>
      </c>
      <c r="AT145" t="s">
        <v>1184</v>
      </c>
      <c r="AU145">
        <v>2007</v>
      </c>
      <c r="AV145">
        <v>26</v>
      </c>
      <c r="AW145" t="s">
        <v>2565</v>
      </c>
      <c r="AX145" t="s">
        <v>74</v>
      </c>
      <c r="AY145" t="s">
        <v>74</v>
      </c>
      <c r="AZ145" t="s">
        <v>74</v>
      </c>
      <c r="BA145" t="s">
        <v>74</v>
      </c>
      <c r="BB145">
        <v>2012</v>
      </c>
      <c r="BC145">
        <v>2018</v>
      </c>
      <c r="BD145" t="s">
        <v>74</v>
      </c>
      <c r="BE145" t="s">
        <v>2566</v>
      </c>
      <c r="BF145" t="str">
        <f>HYPERLINK("http://dx.doi.org/10.1016/j.quascirev.2006.09.011","http://dx.doi.org/10.1016/j.quascirev.2006.09.011")</f>
        <v>http://dx.doi.org/10.1016/j.quascirev.2006.09.011</v>
      </c>
      <c r="BG145" t="s">
        <v>74</v>
      </c>
      <c r="BH145" t="s">
        <v>74</v>
      </c>
      <c r="BI145">
        <v>7</v>
      </c>
      <c r="BJ145" t="s">
        <v>2567</v>
      </c>
      <c r="BK145" t="s">
        <v>98</v>
      </c>
      <c r="BL145" t="s">
        <v>2568</v>
      </c>
      <c r="BM145" t="s">
        <v>2569</v>
      </c>
      <c r="BN145" t="s">
        <v>74</v>
      </c>
      <c r="BO145" t="s">
        <v>74</v>
      </c>
      <c r="BP145" t="s">
        <v>74</v>
      </c>
      <c r="BQ145" t="s">
        <v>74</v>
      </c>
      <c r="BR145" t="s">
        <v>101</v>
      </c>
      <c r="BS145" t="s">
        <v>2570</v>
      </c>
      <c r="BT145" t="str">
        <f>HYPERLINK("https%3A%2F%2Fwww.webofscience.com%2Fwos%2Fwoscc%2Ffull-record%2FWOS:000250629000010","View Full Record in Web of Science")</f>
        <v>View Full Record in Web of Science</v>
      </c>
    </row>
    <row r="146" spans="1:72" x14ac:dyDescent="0.15">
      <c r="A146" t="s">
        <v>72</v>
      </c>
      <c r="B146" t="s">
        <v>2571</v>
      </c>
      <c r="C146" t="s">
        <v>74</v>
      </c>
      <c r="D146" t="s">
        <v>74</v>
      </c>
      <c r="E146" t="s">
        <v>74</v>
      </c>
      <c r="F146" t="s">
        <v>2572</v>
      </c>
      <c r="G146" t="s">
        <v>74</v>
      </c>
      <c r="H146" t="s">
        <v>74</v>
      </c>
      <c r="I146" t="s">
        <v>2573</v>
      </c>
      <c r="J146" t="s">
        <v>2574</v>
      </c>
      <c r="K146" t="s">
        <v>74</v>
      </c>
      <c r="L146" t="s">
        <v>74</v>
      </c>
      <c r="M146" t="s">
        <v>78</v>
      </c>
      <c r="N146" t="s">
        <v>79</v>
      </c>
      <c r="O146" t="s">
        <v>74</v>
      </c>
      <c r="P146" t="s">
        <v>74</v>
      </c>
      <c r="Q146" t="s">
        <v>74</v>
      </c>
      <c r="R146" t="s">
        <v>74</v>
      </c>
      <c r="S146" t="s">
        <v>74</v>
      </c>
      <c r="T146" t="s">
        <v>74</v>
      </c>
      <c r="U146" t="s">
        <v>2575</v>
      </c>
      <c r="V146" t="s">
        <v>2576</v>
      </c>
      <c r="W146" t="s">
        <v>2577</v>
      </c>
      <c r="X146" t="s">
        <v>2578</v>
      </c>
      <c r="Y146" t="s">
        <v>2579</v>
      </c>
      <c r="Z146" t="s">
        <v>2580</v>
      </c>
      <c r="AA146" t="s">
        <v>2581</v>
      </c>
      <c r="AB146" t="s">
        <v>2582</v>
      </c>
      <c r="AC146" t="s">
        <v>2583</v>
      </c>
      <c r="AD146" t="s">
        <v>2584</v>
      </c>
      <c r="AE146" t="s">
        <v>2585</v>
      </c>
      <c r="AF146" t="s">
        <v>74</v>
      </c>
      <c r="AG146">
        <v>39</v>
      </c>
      <c r="AH146">
        <v>8</v>
      </c>
      <c r="AI146">
        <v>8</v>
      </c>
      <c r="AJ146">
        <v>0</v>
      </c>
      <c r="AK146">
        <v>2</v>
      </c>
      <c r="AL146" t="s">
        <v>1592</v>
      </c>
      <c r="AM146" t="s">
        <v>1593</v>
      </c>
      <c r="AN146" t="s">
        <v>1594</v>
      </c>
      <c r="AO146" t="s">
        <v>2586</v>
      </c>
      <c r="AP146" t="s">
        <v>2587</v>
      </c>
      <c r="AQ146" t="s">
        <v>74</v>
      </c>
      <c r="AR146" t="s">
        <v>2588</v>
      </c>
      <c r="AS146" t="s">
        <v>2589</v>
      </c>
      <c r="AT146" t="s">
        <v>1184</v>
      </c>
      <c r="AU146">
        <v>2007</v>
      </c>
      <c r="AV146">
        <v>50</v>
      </c>
      <c r="AW146">
        <v>8</v>
      </c>
      <c r="AX146" t="s">
        <v>74</v>
      </c>
      <c r="AY146" t="s">
        <v>74</v>
      </c>
      <c r="AZ146" t="s">
        <v>74</v>
      </c>
      <c r="BA146" t="s">
        <v>74</v>
      </c>
      <c r="BB146">
        <v>619</v>
      </c>
      <c r="BC146">
        <v>632</v>
      </c>
      <c r="BD146" t="s">
        <v>74</v>
      </c>
      <c r="BE146" t="s">
        <v>2590</v>
      </c>
      <c r="BF146" t="str">
        <f>HYPERLINK("http://dx.doi.org/10.1007/s11141-007-0054-4","http://dx.doi.org/10.1007/s11141-007-0054-4")</f>
        <v>http://dx.doi.org/10.1007/s11141-007-0054-4</v>
      </c>
      <c r="BG146" t="s">
        <v>74</v>
      </c>
      <c r="BH146" t="s">
        <v>74</v>
      </c>
      <c r="BI146">
        <v>14</v>
      </c>
      <c r="BJ146" t="s">
        <v>2591</v>
      </c>
      <c r="BK146" t="s">
        <v>98</v>
      </c>
      <c r="BL146" t="s">
        <v>2592</v>
      </c>
      <c r="BM146" t="s">
        <v>2593</v>
      </c>
      <c r="BN146" t="s">
        <v>74</v>
      </c>
      <c r="BO146" t="s">
        <v>74</v>
      </c>
      <c r="BP146" t="s">
        <v>74</v>
      </c>
      <c r="BQ146" t="s">
        <v>74</v>
      </c>
      <c r="BR146" t="s">
        <v>101</v>
      </c>
      <c r="BS146" t="s">
        <v>2594</v>
      </c>
      <c r="BT146" t="str">
        <f>HYPERLINK("https%3A%2F%2Fwww.webofscience.com%2Fwos%2Fwoscc%2Ffull-record%2FWOS:000207861300003","View Full Record in Web of Science")</f>
        <v>View Full Record in Web of Science</v>
      </c>
    </row>
    <row r="147" spans="1:72" x14ac:dyDescent="0.15">
      <c r="A147" t="s">
        <v>72</v>
      </c>
      <c r="B147" t="s">
        <v>2595</v>
      </c>
      <c r="C147" t="s">
        <v>74</v>
      </c>
      <c r="D147" t="s">
        <v>74</v>
      </c>
      <c r="E147" t="s">
        <v>74</v>
      </c>
      <c r="F147" t="s">
        <v>2596</v>
      </c>
      <c r="G147" t="s">
        <v>74</v>
      </c>
      <c r="H147" t="s">
        <v>74</v>
      </c>
      <c r="I147" t="s">
        <v>2597</v>
      </c>
      <c r="J147" t="s">
        <v>2598</v>
      </c>
      <c r="K147" t="s">
        <v>74</v>
      </c>
      <c r="L147" t="s">
        <v>74</v>
      </c>
      <c r="M147" t="s">
        <v>78</v>
      </c>
      <c r="N147" t="s">
        <v>620</v>
      </c>
      <c r="O147" t="s">
        <v>74</v>
      </c>
      <c r="P147" t="s">
        <v>74</v>
      </c>
      <c r="Q147" t="s">
        <v>74</v>
      </c>
      <c r="R147" t="s">
        <v>74</v>
      </c>
      <c r="S147" t="s">
        <v>74</v>
      </c>
      <c r="T147" t="s">
        <v>74</v>
      </c>
      <c r="U147" t="s">
        <v>74</v>
      </c>
      <c r="V147" t="s">
        <v>74</v>
      </c>
      <c r="W147" t="s">
        <v>2599</v>
      </c>
      <c r="X147" t="s">
        <v>2600</v>
      </c>
      <c r="Y147" t="s">
        <v>2601</v>
      </c>
      <c r="Z147" t="s">
        <v>2602</v>
      </c>
      <c r="AA147" t="s">
        <v>2603</v>
      </c>
      <c r="AB147" t="s">
        <v>2604</v>
      </c>
      <c r="AC147" t="s">
        <v>74</v>
      </c>
      <c r="AD147" t="s">
        <v>74</v>
      </c>
      <c r="AE147" t="s">
        <v>74</v>
      </c>
      <c r="AF147" t="s">
        <v>74</v>
      </c>
      <c r="AG147">
        <v>0</v>
      </c>
      <c r="AH147">
        <v>0</v>
      </c>
      <c r="AI147">
        <v>0</v>
      </c>
      <c r="AJ147">
        <v>1</v>
      </c>
      <c r="AK147">
        <v>5</v>
      </c>
      <c r="AL147" t="s">
        <v>1592</v>
      </c>
      <c r="AM147" t="s">
        <v>2052</v>
      </c>
      <c r="AN147" t="s">
        <v>2053</v>
      </c>
      <c r="AO147" t="s">
        <v>2605</v>
      </c>
      <c r="AP147" t="s">
        <v>74</v>
      </c>
      <c r="AQ147" t="s">
        <v>74</v>
      </c>
      <c r="AR147" t="s">
        <v>2606</v>
      </c>
      <c r="AS147" t="s">
        <v>2607</v>
      </c>
      <c r="AT147" t="s">
        <v>1184</v>
      </c>
      <c r="AU147">
        <v>2007</v>
      </c>
      <c r="AV147">
        <v>17</v>
      </c>
      <c r="AW147" t="s">
        <v>2608</v>
      </c>
      <c r="AX147" t="s">
        <v>74</v>
      </c>
      <c r="AY147" t="s">
        <v>74</v>
      </c>
      <c r="AZ147" t="s">
        <v>74</v>
      </c>
      <c r="BA147" t="s">
        <v>74</v>
      </c>
      <c r="BB147">
        <v>77</v>
      </c>
      <c r="BC147">
        <v>78</v>
      </c>
      <c r="BD147" t="s">
        <v>74</v>
      </c>
      <c r="BE147" t="s">
        <v>2609</v>
      </c>
      <c r="BF147" t="str">
        <f>HYPERLINK("http://dx.doi.org/10.1007/s11160-007-9049-7","http://dx.doi.org/10.1007/s11160-007-9049-7")</f>
        <v>http://dx.doi.org/10.1007/s11160-007-9049-7</v>
      </c>
      <c r="BG147" t="s">
        <v>74</v>
      </c>
      <c r="BH147" t="s">
        <v>74</v>
      </c>
      <c r="BI147">
        <v>2</v>
      </c>
      <c r="BJ147" t="s">
        <v>2610</v>
      </c>
      <c r="BK147" t="s">
        <v>98</v>
      </c>
      <c r="BL147" t="s">
        <v>2610</v>
      </c>
      <c r="BM147" t="s">
        <v>2611</v>
      </c>
      <c r="BN147" t="s">
        <v>74</v>
      </c>
      <c r="BO147" t="s">
        <v>74</v>
      </c>
      <c r="BP147" t="s">
        <v>74</v>
      </c>
      <c r="BQ147" t="s">
        <v>74</v>
      </c>
      <c r="BR147" t="s">
        <v>101</v>
      </c>
      <c r="BS147" t="s">
        <v>2612</v>
      </c>
      <c r="BT147" t="str">
        <f>HYPERLINK("https%3A%2F%2Fwww.webofscience.com%2Fwos%2Fwoscc%2Ffull-record%2FWOS:000246737400001","View Full Record in Web of Science")</f>
        <v>View Full Record in Web of Science</v>
      </c>
    </row>
    <row r="148" spans="1:72" x14ac:dyDescent="0.15">
      <c r="A148" t="s">
        <v>72</v>
      </c>
      <c r="B148" t="s">
        <v>2613</v>
      </c>
      <c r="C148" t="s">
        <v>74</v>
      </c>
      <c r="D148" t="s">
        <v>74</v>
      </c>
      <c r="E148" t="s">
        <v>74</v>
      </c>
      <c r="F148" t="s">
        <v>2614</v>
      </c>
      <c r="G148" t="s">
        <v>74</v>
      </c>
      <c r="H148" t="s">
        <v>74</v>
      </c>
      <c r="I148" t="s">
        <v>2615</v>
      </c>
      <c r="J148" t="s">
        <v>2598</v>
      </c>
      <c r="K148" t="s">
        <v>74</v>
      </c>
      <c r="L148" t="s">
        <v>74</v>
      </c>
      <c r="M148" t="s">
        <v>78</v>
      </c>
      <c r="N148" t="s">
        <v>514</v>
      </c>
      <c r="O148" t="s">
        <v>2616</v>
      </c>
      <c r="P148">
        <v>2006</v>
      </c>
      <c r="Q148" t="s">
        <v>2617</v>
      </c>
      <c r="R148" t="s">
        <v>74</v>
      </c>
      <c r="S148" t="s">
        <v>74</v>
      </c>
      <c r="T148" t="s">
        <v>2618</v>
      </c>
      <c r="U148" t="s">
        <v>2619</v>
      </c>
      <c r="V148" t="s">
        <v>2620</v>
      </c>
      <c r="W148" t="s">
        <v>2621</v>
      </c>
      <c r="X148" t="s">
        <v>2622</v>
      </c>
      <c r="Y148" t="s">
        <v>2623</v>
      </c>
      <c r="Z148" t="s">
        <v>2624</v>
      </c>
      <c r="AA148" t="s">
        <v>2625</v>
      </c>
      <c r="AB148" t="s">
        <v>2626</v>
      </c>
      <c r="AC148" t="s">
        <v>480</v>
      </c>
      <c r="AD148" t="s">
        <v>140</v>
      </c>
      <c r="AE148" t="s">
        <v>74</v>
      </c>
      <c r="AF148" t="s">
        <v>74</v>
      </c>
      <c r="AG148">
        <v>107</v>
      </c>
      <c r="AH148">
        <v>53</v>
      </c>
      <c r="AI148">
        <v>64</v>
      </c>
      <c r="AJ148">
        <v>2</v>
      </c>
      <c r="AK148">
        <v>44</v>
      </c>
      <c r="AL148" t="s">
        <v>1592</v>
      </c>
      <c r="AM148" t="s">
        <v>2052</v>
      </c>
      <c r="AN148" t="s">
        <v>2053</v>
      </c>
      <c r="AO148" t="s">
        <v>2605</v>
      </c>
      <c r="AP148" t="s">
        <v>2627</v>
      </c>
      <c r="AQ148" t="s">
        <v>74</v>
      </c>
      <c r="AR148" t="s">
        <v>2606</v>
      </c>
      <c r="AS148" t="s">
        <v>2607</v>
      </c>
      <c r="AT148" t="s">
        <v>1184</v>
      </c>
      <c r="AU148">
        <v>2007</v>
      </c>
      <c r="AV148">
        <v>17</v>
      </c>
      <c r="AW148" t="s">
        <v>2608</v>
      </c>
      <c r="AX148" t="s">
        <v>74</v>
      </c>
      <c r="AY148" t="s">
        <v>74</v>
      </c>
      <c r="AZ148" t="s">
        <v>74</v>
      </c>
      <c r="BA148" t="s">
        <v>74</v>
      </c>
      <c r="BB148">
        <v>79</v>
      </c>
      <c r="BC148">
        <v>99</v>
      </c>
      <c r="BD148" t="s">
        <v>74</v>
      </c>
      <c r="BE148" t="s">
        <v>2628</v>
      </c>
      <c r="BF148" t="str">
        <f>HYPERLINK("http://dx.doi.org/10.1007/s11160-007-9055-9","http://dx.doi.org/10.1007/s11160-007-9055-9")</f>
        <v>http://dx.doi.org/10.1007/s11160-007-9055-9</v>
      </c>
      <c r="BG148" t="s">
        <v>74</v>
      </c>
      <c r="BH148" t="s">
        <v>74</v>
      </c>
      <c r="BI148">
        <v>21</v>
      </c>
      <c r="BJ148" t="s">
        <v>2610</v>
      </c>
      <c r="BK148" t="s">
        <v>535</v>
      </c>
      <c r="BL148" t="s">
        <v>2610</v>
      </c>
      <c r="BM148" t="s">
        <v>2611</v>
      </c>
      <c r="BN148" t="s">
        <v>74</v>
      </c>
      <c r="BO148" t="s">
        <v>1249</v>
      </c>
      <c r="BP148" t="s">
        <v>74</v>
      </c>
      <c r="BQ148" t="s">
        <v>74</v>
      </c>
      <c r="BR148" t="s">
        <v>101</v>
      </c>
      <c r="BS148" t="s">
        <v>2629</v>
      </c>
      <c r="BT148" t="str">
        <f>HYPERLINK("https%3A%2F%2Fwww.webofscience.com%2Fwos%2Fwoscc%2Ffull-record%2FWOS:000246737400002","View Full Record in Web of Science")</f>
        <v>View Full Record in Web of Science</v>
      </c>
    </row>
    <row r="149" spans="1:72" x14ac:dyDescent="0.15">
      <c r="A149" t="s">
        <v>72</v>
      </c>
      <c r="B149" t="s">
        <v>2630</v>
      </c>
      <c r="C149" t="s">
        <v>74</v>
      </c>
      <c r="D149" t="s">
        <v>74</v>
      </c>
      <c r="E149" t="s">
        <v>74</v>
      </c>
      <c r="F149" t="s">
        <v>2631</v>
      </c>
      <c r="G149" t="s">
        <v>74</v>
      </c>
      <c r="H149" t="s">
        <v>74</v>
      </c>
      <c r="I149" t="s">
        <v>2632</v>
      </c>
      <c r="J149" t="s">
        <v>2598</v>
      </c>
      <c r="K149" t="s">
        <v>74</v>
      </c>
      <c r="L149" t="s">
        <v>74</v>
      </c>
      <c r="M149" t="s">
        <v>78</v>
      </c>
      <c r="N149" t="s">
        <v>514</v>
      </c>
      <c r="O149" t="s">
        <v>2616</v>
      </c>
      <c r="P149">
        <v>2006</v>
      </c>
      <c r="Q149" t="s">
        <v>2617</v>
      </c>
      <c r="R149" t="s">
        <v>74</v>
      </c>
      <c r="S149" t="s">
        <v>74</v>
      </c>
      <c r="T149" t="s">
        <v>2633</v>
      </c>
      <c r="U149" t="s">
        <v>2634</v>
      </c>
      <c r="V149" t="s">
        <v>2635</v>
      </c>
      <c r="W149" t="s">
        <v>2636</v>
      </c>
      <c r="X149" t="s">
        <v>2637</v>
      </c>
      <c r="Y149" t="s">
        <v>2638</v>
      </c>
      <c r="Z149" t="s">
        <v>2639</v>
      </c>
      <c r="AA149" t="s">
        <v>2640</v>
      </c>
      <c r="AB149" t="s">
        <v>2641</v>
      </c>
      <c r="AC149" t="s">
        <v>74</v>
      </c>
      <c r="AD149" t="s">
        <v>74</v>
      </c>
      <c r="AE149" t="s">
        <v>74</v>
      </c>
      <c r="AF149" t="s">
        <v>74</v>
      </c>
      <c r="AG149">
        <v>31</v>
      </c>
      <c r="AH149">
        <v>12</v>
      </c>
      <c r="AI149">
        <v>14</v>
      </c>
      <c r="AJ149">
        <v>0</v>
      </c>
      <c r="AK149">
        <v>13</v>
      </c>
      <c r="AL149" t="s">
        <v>1592</v>
      </c>
      <c r="AM149" t="s">
        <v>2052</v>
      </c>
      <c r="AN149" t="s">
        <v>2053</v>
      </c>
      <c r="AO149" t="s">
        <v>2605</v>
      </c>
      <c r="AP149" t="s">
        <v>2627</v>
      </c>
      <c r="AQ149" t="s">
        <v>74</v>
      </c>
      <c r="AR149" t="s">
        <v>2606</v>
      </c>
      <c r="AS149" t="s">
        <v>2607</v>
      </c>
      <c r="AT149" t="s">
        <v>1184</v>
      </c>
      <c r="AU149">
        <v>2007</v>
      </c>
      <c r="AV149">
        <v>17</v>
      </c>
      <c r="AW149" t="s">
        <v>2608</v>
      </c>
      <c r="AX149" t="s">
        <v>74</v>
      </c>
      <c r="AY149" t="s">
        <v>74</v>
      </c>
      <c r="AZ149" t="s">
        <v>74</v>
      </c>
      <c r="BA149" t="s">
        <v>74</v>
      </c>
      <c r="BB149">
        <v>207</v>
      </c>
      <c r="BC149">
        <v>221</v>
      </c>
      <c r="BD149" t="s">
        <v>74</v>
      </c>
      <c r="BE149" t="s">
        <v>2642</v>
      </c>
      <c r="BF149" t="str">
        <f>HYPERLINK("http://dx.doi.org/10.1007/s11160-006-9028-4","http://dx.doi.org/10.1007/s11160-006-9028-4")</f>
        <v>http://dx.doi.org/10.1007/s11160-006-9028-4</v>
      </c>
      <c r="BG149" t="s">
        <v>74</v>
      </c>
      <c r="BH149" t="s">
        <v>74</v>
      </c>
      <c r="BI149">
        <v>15</v>
      </c>
      <c r="BJ149" t="s">
        <v>2610</v>
      </c>
      <c r="BK149" t="s">
        <v>535</v>
      </c>
      <c r="BL149" t="s">
        <v>2610</v>
      </c>
      <c r="BM149" t="s">
        <v>2611</v>
      </c>
      <c r="BN149" t="s">
        <v>74</v>
      </c>
      <c r="BO149" t="s">
        <v>74</v>
      </c>
      <c r="BP149" t="s">
        <v>74</v>
      </c>
      <c r="BQ149" t="s">
        <v>74</v>
      </c>
      <c r="BR149" t="s">
        <v>101</v>
      </c>
      <c r="BS149" t="s">
        <v>2643</v>
      </c>
      <c r="BT149" t="str">
        <f>HYPERLINK("https%3A%2F%2Fwww.webofscience.com%2Fwos%2Fwoscc%2Ffull-record%2FWOS:000246737400012","View Full Record in Web of Science")</f>
        <v>View Full Record in Web of Science</v>
      </c>
    </row>
    <row r="150" spans="1:72" x14ac:dyDescent="0.15">
      <c r="A150" t="s">
        <v>72</v>
      </c>
      <c r="B150" t="s">
        <v>2644</v>
      </c>
      <c r="C150" t="s">
        <v>74</v>
      </c>
      <c r="D150" t="s">
        <v>74</v>
      </c>
      <c r="E150" t="s">
        <v>74</v>
      </c>
      <c r="F150" t="s">
        <v>2645</v>
      </c>
      <c r="G150" t="s">
        <v>74</v>
      </c>
      <c r="H150" t="s">
        <v>74</v>
      </c>
      <c r="I150" t="s">
        <v>2646</v>
      </c>
      <c r="J150" t="s">
        <v>2598</v>
      </c>
      <c r="K150" t="s">
        <v>74</v>
      </c>
      <c r="L150" t="s">
        <v>74</v>
      </c>
      <c r="M150" t="s">
        <v>78</v>
      </c>
      <c r="N150" t="s">
        <v>514</v>
      </c>
      <c r="O150" t="s">
        <v>2616</v>
      </c>
      <c r="P150">
        <v>2006</v>
      </c>
      <c r="Q150" t="s">
        <v>2617</v>
      </c>
      <c r="R150" t="s">
        <v>74</v>
      </c>
      <c r="S150" t="s">
        <v>74</v>
      </c>
      <c r="T150" t="s">
        <v>2647</v>
      </c>
      <c r="U150" t="s">
        <v>2648</v>
      </c>
      <c r="V150" t="s">
        <v>2649</v>
      </c>
      <c r="W150" t="s">
        <v>2650</v>
      </c>
      <c r="X150" t="s">
        <v>2651</v>
      </c>
      <c r="Y150" t="s">
        <v>2652</v>
      </c>
      <c r="Z150" t="s">
        <v>2653</v>
      </c>
      <c r="AA150" t="s">
        <v>2654</v>
      </c>
      <c r="AB150" t="s">
        <v>2655</v>
      </c>
      <c r="AC150" t="s">
        <v>74</v>
      </c>
      <c r="AD150" t="s">
        <v>74</v>
      </c>
      <c r="AE150" t="s">
        <v>74</v>
      </c>
      <c r="AF150" t="s">
        <v>74</v>
      </c>
      <c r="AG150">
        <v>49</v>
      </c>
      <c r="AH150">
        <v>39</v>
      </c>
      <c r="AI150">
        <v>45</v>
      </c>
      <c r="AJ150">
        <v>3</v>
      </c>
      <c r="AK150">
        <v>15</v>
      </c>
      <c r="AL150" t="s">
        <v>1592</v>
      </c>
      <c r="AM150" t="s">
        <v>2052</v>
      </c>
      <c r="AN150" t="s">
        <v>2053</v>
      </c>
      <c r="AO150" t="s">
        <v>2605</v>
      </c>
      <c r="AP150" t="s">
        <v>2627</v>
      </c>
      <c r="AQ150" t="s">
        <v>74</v>
      </c>
      <c r="AR150" t="s">
        <v>2606</v>
      </c>
      <c r="AS150" t="s">
        <v>2607</v>
      </c>
      <c r="AT150" t="s">
        <v>1184</v>
      </c>
      <c r="AU150">
        <v>2007</v>
      </c>
      <c r="AV150">
        <v>17</v>
      </c>
      <c r="AW150" t="s">
        <v>2608</v>
      </c>
      <c r="AX150" t="s">
        <v>74</v>
      </c>
      <c r="AY150" t="s">
        <v>74</v>
      </c>
      <c r="AZ150" t="s">
        <v>74</v>
      </c>
      <c r="BA150" t="s">
        <v>74</v>
      </c>
      <c r="BB150">
        <v>337</v>
      </c>
      <c r="BC150">
        <v>344</v>
      </c>
      <c r="BD150" t="s">
        <v>74</v>
      </c>
      <c r="BE150" t="s">
        <v>2656</v>
      </c>
      <c r="BF150" t="str">
        <f>HYPERLINK("http://dx.doi.org/10.1007/s11160-007-9043-0","http://dx.doi.org/10.1007/s11160-007-9043-0")</f>
        <v>http://dx.doi.org/10.1007/s11160-007-9043-0</v>
      </c>
      <c r="BG150" t="s">
        <v>74</v>
      </c>
      <c r="BH150" t="s">
        <v>74</v>
      </c>
      <c r="BI150">
        <v>8</v>
      </c>
      <c r="BJ150" t="s">
        <v>2610</v>
      </c>
      <c r="BK150" t="s">
        <v>535</v>
      </c>
      <c r="BL150" t="s">
        <v>2610</v>
      </c>
      <c r="BM150" t="s">
        <v>2611</v>
      </c>
      <c r="BN150" t="s">
        <v>74</v>
      </c>
      <c r="BO150" t="s">
        <v>74</v>
      </c>
      <c r="BP150" t="s">
        <v>74</v>
      </c>
      <c r="BQ150" t="s">
        <v>74</v>
      </c>
      <c r="BR150" t="s">
        <v>101</v>
      </c>
      <c r="BS150" t="s">
        <v>2657</v>
      </c>
      <c r="BT150" t="str">
        <f>HYPERLINK("https%3A%2F%2Fwww.webofscience.com%2Fwos%2Fwoscc%2Ffull-record%2FWOS:000246737400021","View Full Record in Web of Science")</f>
        <v>View Full Record in Web of Science</v>
      </c>
    </row>
    <row r="151" spans="1:72" x14ac:dyDescent="0.15">
      <c r="A151" t="s">
        <v>72</v>
      </c>
      <c r="B151" t="s">
        <v>2658</v>
      </c>
      <c r="C151" t="s">
        <v>74</v>
      </c>
      <c r="D151" t="s">
        <v>74</v>
      </c>
      <c r="E151" t="s">
        <v>74</v>
      </c>
      <c r="F151" t="s">
        <v>2659</v>
      </c>
      <c r="G151" t="s">
        <v>74</v>
      </c>
      <c r="H151" t="s">
        <v>74</v>
      </c>
      <c r="I151" t="s">
        <v>2660</v>
      </c>
      <c r="J151" t="s">
        <v>2598</v>
      </c>
      <c r="K151" t="s">
        <v>74</v>
      </c>
      <c r="L151" t="s">
        <v>74</v>
      </c>
      <c r="M151" t="s">
        <v>78</v>
      </c>
      <c r="N151" t="s">
        <v>514</v>
      </c>
      <c r="O151" t="s">
        <v>2616</v>
      </c>
      <c r="P151">
        <v>2006</v>
      </c>
      <c r="Q151" t="s">
        <v>2617</v>
      </c>
      <c r="R151" t="s">
        <v>74</v>
      </c>
      <c r="S151" t="s">
        <v>74</v>
      </c>
      <c r="T151" t="s">
        <v>2661</v>
      </c>
      <c r="U151" t="s">
        <v>2662</v>
      </c>
      <c r="V151" t="s">
        <v>2663</v>
      </c>
      <c r="W151" t="s">
        <v>2664</v>
      </c>
      <c r="X151" t="s">
        <v>2665</v>
      </c>
      <c r="Y151" t="s">
        <v>2666</v>
      </c>
      <c r="Z151" t="s">
        <v>2667</v>
      </c>
      <c r="AA151" t="s">
        <v>2668</v>
      </c>
      <c r="AB151" t="s">
        <v>74</v>
      </c>
      <c r="AC151" t="s">
        <v>74</v>
      </c>
      <c r="AD151" t="s">
        <v>74</v>
      </c>
      <c r="AE151" t="s">
        <v>74</v>
      </c>
      <c r="AF151" t="s">
        <v>74</v>
      </c>
      <c r="AG151">
        <v>34</v>
      </c>
      <c r="AH151">
        <v>13</v>
      </c>
      <c r="AI151">
        <v>13</v>
      </c>
      <c r="AJ151">
        <v>0</v>
      </c>
      <c r="AK151">
        <v>26</v>
      </c>
      <c r="AL151" t="s">
        <v>1592</v>
      </c>
      <c r="AM151" t="s">
        <v>2052</v>
      </c>
      <c r="AN151" t="s">
        <v>2053</v>
      </c>
      <c r="AO151" t="s">
        <v>2605</v>
      </c>
      <c r="AP151" t="s">
        <v>2627</v>
      </c>
      <c r="AQ151" t="s">
        <v>74</v>
      </c>
      <c r="AR151" t="s">
        <v>2606</v>
      </c>
      <c r="AS151" t="s">
        <v>2607</v>
      </c>
      <c r="AT151" t="s">
        <v>1184</v>
      </c>
      <c r="AU151">
        <v>2007</v>
      </c>
      <c r="AV151">
        <v>17</v>
      </c>
      <c r="AW151" t="s">
        <v>2608</v>
      </c>
      <c r="AX151" t="s">
        <v>74</v>
      </c>
      <c r="AY151" t="s">
        <v>74</v>
      </c>
      <c r="AZ151" t="s">
        <v>74</v>
      </c>
      <c r="BA151" t="s">
        <v>74</v>
      </c>
      <c r="BB151">
        <v>385</v>
      </c>
      <c r="BC151">
        <v>399</v>
      </c>
      <c r="BD151" t="s">
        <v>74</v>
      </c>
      <c r="BE151" t="s">
        <v>2669</v>
      </c>
      <c r="BF151" t="str">
        <f>HYPERLINK("http://dx.doi.org/10.1007/s11160-007-9046-x","http://dx.doi.org/10.1007/s11160-007-9046-x")</f>
        <v>http://dx.doi.org/10.1007/s11160-007-9046-x</v>
      </c>
      <c r="BG151" t="s">
        <v>74</v>
      </c>
      <c r="BH151" t="s">
        <v>74</v>
      </c>
      <c r="BI151">
        <v>15</v>
      </c>
      <c r="BJ151" t="s">
        <v>2610</v>
      </c>
      <c r="BK151" t="s">
        <v>535</v>
      </c>
      <c r="BL151" t="s">
        <v>2610</v>
      </c>
      <c r="BM151" t="s">
        <v>2611</v>
      </c>
      <c r="BN151" t="s">
        <v>74</v>
      </c>
      <c r="BO151" t="s">
        <v>74</v>
      </c>
      <c r="BP151" t="s">
        <v>74</v>
      </c>
      <c r="BQ151" t="s">
        <v>74</v>
      </c>
      <c r="BR151" t="s">
        <v>101</v>
      </c>
      <c r="BS151" t="s">
        <v>2670</v>
      </c>
      <c r="BT151" t="str">
        <f>HYPERLINK("https%3A%2F%2Fwww.webofscience.com%2Fwos%2Fwoscc%2Ffull-record%2FWOS:000246737400025","View Full Record in Web of Science")</f>
        <v>View Full Record in Web of Science</v>
      </c>
    </row>
    <row r="152" spans="1:72" x14ac:dyDescent="0.15">
      <c r="A152" t="s">
        <v>72</v>
      </c>
      <c r="B152" t="s">
        <v>2671</v>
      </c>
      <c r="C152" t="s">
        <v>74</v>
      </c>
      <c r="D152" t="s">
        <v>74</v>
      </c>
      <c r="E152" t="s">
        <v>74</v>
      </c>
      <c r="F152" t="s">
        <v>2672</v>
      </c>
      <c r="G152" t="s">
        <v>74</v>
      </c>
      <c r="H152" t="s">
        <v>74</v>
      </c>
      <c r="I152" t="s">
        <v>2673</v>
      </c>
      <c r="J152" t="s">
        <v>2598</v>
      </c>
      <c r="K152" t="s">
        <v>74</v>
      </c>
      <c r="L152" t="s">
        <v>74</v>
      </c>
      <c r="M152" t="s">
        <v>78</v>
      </c>
      <c r="N152" t="s">
        <v>514</v>
      </c>
      <c r="O152" t="s">
        <v>2616</v>
      </c>
      <c r="P152">
        <v>2006</v>
      </c>
      <c r="Q152" t="s">
        <v>2617</v>
      </c>
      <c r="R152" t="s">
        <v>74</v>
      </c>
      <c r="S152" t="s">
        <v>74</v>
      </c>
      <c r="T152" t="s">
        <v>2674</v>
      </c>
      <c r="U152" t="s">
        <v>2675</v>
      </c>
      <c r="V152" t="s">
        <v>2676</v>
      </c>
      <c r="W152" t="s">
        <v>2677</v>
      </c>
      <c r="X152" t="s">
        <v>2678</v>
      </c>
      <c r="Y152" t="s">
        <v>2679</v>
      </c>
      <c r="Z152" t="s">
        <v>2680</v>
      </c>
      <c r="AA152" t="s">
        <v>2681</v>
      </c>
      <c r="AB152" t="s">
        <v>2682</v>
      </c>
      <c r="AC152" t="s">
        <v>480</v>
      </c>
      <c r="AD152" t="s">
        <v>140</v>
      </c>
      <c r="AE152" t="s">
        <v>74</v>
      </c>
      <c r="AF152" t="s">
        <v>74</v>
      </c>
      <c r="AG152">
        <v>193</v>
      </c>
      <c r="AH152">
        <v>103</v>
      </c>
      <c r="AI152">
        <v>118</v>
      </c>
      <c r="AJ152">
        <v>4</v>
      </c>
      <c r="AK152">
        <v>57</v>
      </c>
      <c r="AL152" t="s">
        <v>1592</v>
      </c>
      <c r="AM152" t="s">
        <v>2052</v>
      </c>
      <c r="AN152" t="s">
        <v>2053</v>
      </c>
      <c r="AO152" t="s">
        <v>2605</v>
      </c>
      <c r="AP152" t="s">
        <v>2627</v>
      </c>
      <c r="AQ152" t="s">
        <v>74</v>
      </c>
      <c r="AR152" t="s">
        <v>2606</v>
      </c>
      <c r="AS152" t="s">
        <v>2607</v>
      </c>
      <c r="AT152" t="s">
        <v>1184</v>
      </c>
      <c r="AU152">
        <v>2007</v>
      </c>
      <c r="AV152">
        <v>17</v>
      </c>
      <c r="AW152" t="s">
        <v>2608</v>
      </c>
      <c r="AX152" t="s">
        <v>74</v>
      </c>
      <c r="AY152" t="s">
        <v>74</v>
      </c>
      <c r="AZ152" t="s">
        <v>74</v>
      </c>
      <c r="BA152" t="s">
        <v>74</v>
      </c>
      <c r="BB152">
        <v>401</v>
      </c>
      <c r="BC152">
        <v>423</v>
      </c>
      <c r="BD152" t="s">
        <v>74</v>
      </c>
      <c r="BE152" t="s">
        <v>2683</v>
      </c>
      <c r="BF152" t="str">
        <f>HYPERLINK("http://dx.doi.org/10.1007/s11160-007-9048-8","http://dx.doi.org/10.1007/s11160-007-9048-8")</f>
        <v>http://dx.doi.org/10.1007/s11160-007-9048-8</v>
      </c>
      <c r="BG152" t="s">
        <v>74</v>
      </c>
      <c r="BH152" t="s">
        <v>74</v>
      </c>
      <c r="BI152">
        <v>23</v>
      </c>
      <c r="BJ152" t="s">
        <v>2610</v>
      </c>
      <c r="BK152" t="s">
        <v>535</v>
      </c>
      <c r="BL152" t="s">
        <v>2610</v>
      </c>
      <c r="BM152" t="s">
        <v>2611</v>
      </c>
      <c r="BN152" t="s">
        <v>74</v>
      </c>
      <c r="BO152" t="s">
        <v>74</v>
      </c>
      <c r="BP152" t="s">
        <v>74</v>
      </c>
      <c r="BQ152" t="s">
        <v>74</v>
      </c>
      <c r="BR152" t="s">
        <v>101</v>
      </c>
      <c r="BS152" t="s">
        <v>2684</v>
      </c>
      <c r="BT152" t="str">
        <f>HYPERLINK("https%3A%2F%2Fwww.webofscience.com%2Fwos%2Fwoscc%2Ffull-record%2FWOS:000246737400026","View Full Record in Web of Science")</f>
        <v>View Full Record in Web of Science</v>
      </c>
    </row>
    <row r="153" spans="1:72" x14ac:dyDescent="0.15">
      <c r="A153" t="s">
        <v>72</v>
      </c>
      <c r="B153" t="s">
        <v>2685</v>
      </c>
      <c r="C153" t="s">
        <v>74</v>
      </c>
      <c r="D153" t="s">
        <v>74</v>
      </c>
      <c r="E153" t="s">
        <v>74</v>
      </c>
      <c r="F153" t="s">
        <v>2686</v>
      </c>
      <c r="G153" t="s">
        <v>74</v>
      </c>
      <c r="H153" t="s">
        <v>74</v>
      </c>
      <c r="I153" t="s">
        <v>2687</v>
      </c>
      <c r="J153" t="s">
        <v>2598</v>
      </c>
      <c r="K153" t="s">
        <v>74</v>
      </c>
      <c r="L153" t="s">
        <v>74</v>
      </c>
      <c r="M153" t="s">
        <v>78</v>
      </c>
      <c r="N153" t="s">
        <v>514</v>
      </c>
      <c r="O153" t="s">
        <v>2616</v>
      </c>
      <c r="P153">
        <v>2006</v>
      </c>
      <c r="Q153" t="s">
        <v>2617</v>
      </c>
      <c r="R153" t="s">
        <v>74</v>
      </c>
      <c r="S153" t="s">
        <v>74</v>
      </c>
      <c r="T153" t="s">
        <v>2688</v>
      </c>
      <c r="U153" t="s">
        <v>2689</v>
      </c>
      <c r="V153" t="s">
        <v>2690</v>
      </c>
      <c r="W153" t="s">
        <v>2691</v>
      </c>
      <c r="X153" t="s">
        <v>2692</v>
      </c>
      <c r="Y153" t="s">
        <v>2693</v>
      </c>
      <c r="Z153" t="s">
        <v>2694</v>
      </c>
      <c r="AA153" t="s">
        <v>74</v>
      </c>
      <c r="AB153" t="s">
        <v>2695</v>
      </c>
      <c r="AC153" t="s">
        <v>74</v>
      </c>
      <c r="AD153" t="s">
        <v>74</v>
      </c>
      <c r="AE153" t="s">
        <v>74</v>
      </c>
      <c r="AF153" t="s">
        <v>74</v>
      </c>
      <c r="AG153">
        <v>29</v>
      </c>
      <c r="AH153">
        <v>13</v>
      </c>
      <c r="AI153">
        <v>14</v>
      </c>
      <c r="AJ153">
        <v>0</v>
      </c>
      <c r="AK153">
        <v>2</v>
      </c>
      <c r="AL153" t="s">
        <v>1592</v>
      </c>
      <c r="AM153" t="s">
        <v>2052</v>
      </c>
      <c r="AN153" t="s">
        <v>2053</v>
      </c>
      <c r="AO153" t="s">
        <v>2605</v>
      </c>
      <c r="AP153" t="s">
        <v>2627</v>
      </c>
      <c r="AQ153" t="s">
        <v>74</v>
      </c>
      <c r="AR153" t="s">
        <v>2606</v>
      </c>
      <c r="AS153" t="s">
        <v>2607</v>
      </c>
      <c r="AT153" t="s">
        <v>1184</v>
      </c>
      <c r="AU153">
        <v>2007</v>
      </c>
      <c r="AV153">
        <v>17</v>
      </c>
      <c r="AW153" t="s">
        <v>2608</v>
      </c>
      <c r="AX153" t="s">
        <v>74</v>
      </c>
      <c r="AY153" t="s">
        <v>74</v>
      </c>
      <c r="AZ153" t="s">
        <v>74</v>
      </c>
      <c r="BA153" t="s">
        <v>74</v>
      </c>
      <c r="BB153">
        <v>425</v>
      </c>
      <c r="BC153">
        <v>435</v>
      </c>
      <c r="BD153" t="s">
        <v>74</v>
      </c>
      <c r="BE153" t="s">
        <v>2696</v>
      </c>
      <c r="BF153" t="str">
        <f>HYPERLINK("http://dx.doi.org/10.1007/s11160-007-9047-9","http://dx.doi.org/10.1007/s11160-007-9047-9")</f>
        <v>http://dx.doi.org/10.1007/s11160-007-9047-9</v>
      </c>
      <c r="BG153" t="s">
        <v>74</v>
      </c>
      <c r="BH153" t="s">
        <v>74</v>
      </c>
      <c r="BI153">
        <v>11</v>
      </c>
      <c r="BJ153" t="s">
        <v>2610</v>
      </c>
      <c r="BK153" t="s">
        <v>535</v>
      </c>
      <c r="BL153" t="s">
        <v>2610</v>
      </c>
      <c r="BM153" t="s">
        <v>2611</v>
      </c>
      <c r="BN153" t="s">
        <v>74</v>
      </c>
      <c r="BO153" t="s">
        <v>74</v>
      </c>
      <c r="BP153" t="s">
        <v>74</v>
      </c>
      <c r="BQ153" t="s">
        <v>74</v>
      </c>
      <c r="BR153" t="s">
        <v>101</v>
      </c>
      <c r="BS153" t="s">
        <v>2697</v>
      </c>
      <c r="BT153" t="str">
        <f>HYPERLINK("https%3A%2F%2Fwww.webofscience.com%2Fwos%2Fwoscc%2Ffull-record%2FWOS:000246737400027","View Full Record in Web of Science")</f>
        <v>View Full Record in Web of Science</v>
      </c>
    </row>
    <row r="154" spans="1:72" x14ac:dyDescent="0.15">
      <c r="A154" t="s">
        <v>72</v>
      </c>
      <c r="B154" t="s">
        <v>2698</v>
      </c>
      <c r="C154" t="s">
        <v>74</v>
      </c>
      <c r="D154" t="s">
        <v>74</v>
      </c>
      <c r="E154" t="s">
        <v>74</v>
      </c>
      <c r="F154" t="s">
        <v>2699</v>
      </c>
      <c r="G154" t="s">
        <v>74</v>
      </c>
      <c r="H154" t="s">
        <v>74</v>
      </c>
      <c r="I154" t="s">
        <v>2700</v>
      </c>
      <c r="J154" t="s">
        <v>2701</v>
      </c>
      <c r="K154" t="s">
        <v>74</v>
      </c>
      <c r="L154" t="s">
        <v>74</v>
      </c>
      <c r="M154" t="s">
        <v>78</v>
      </c>
      <c r="N154" t="s">
        <v>79</v>
      </c>
      <c r="O154" t="s">
        <v>74</v>
      </c>
      <c r="P154" t="s">
        <v>74</v>
      </c>
      <c r="Q154" t="s">
        <v>74</v>
      </c>
      <c r="R154" t="s">
        <v>74</v>
      </c>
      <c r="S154" t="s">
        <v>74</v>
      </c>
      <c r="T154" t="s">
        <v>2702</v>
      </c>
      <c r="U154" t="s">
        <v>2703</v>
      </c>
      <c r="V154" t="s">
        <v>2704</v>
      </c>
      <c r="W154" t="s">
        <v>2705</v>
      </c>
      <c r="X154" t="s">
        <v>2706</v>
      </c>
      <c r="Y154" t="s">
        <v>2707</v>
      </c>
      <c r="Z154" t="s">
        <v>2708</v>
      </c>
      <c r="AA154" t="s">
        <v>74</v>
      </c>
      <c r="AB154" t="s">
        <v>74</v>
      </c>
      <c r="AC154" t="s">
        <v>74</v>
      </c>
      <c r="AD154" t="s">
        <v>74</v>
      </c>
      <c r="AE154" t="s">
        <v>74</v>
      </c>
      <c r="AF154" t="s">
        <v>74</v>
      </c>
      <c r="AG154">
        <v>43</v>
      </c>
      <c r="AH154">
        <v>3</v>
      </c>
      <c r="AI154">
        <v>6</v>
      </c>
      <c r="AJ154">
        <v>1</v>
      </c>
      <c r="AK154">
        <v>27</v>
      </c>
      <c r="AL154" t="s">
        <v>2709</v>
      </c>
      <c r="AM154" t="s">
        <v>2710</v>
      </c>
      <c r="AN154" t="s">
        <v>2711</v>
      </c>
      <c r="AO154" t="s">
        <v>2712</v>
      </c>
      <c r="AP154" t="s">
        <v>74</v>
      </c>
      <c r="AQ154" t="s">
        <v>74</v>
      </c>
      <c r="AR154" t="s">
        <v>2713</v>
      </c>
      <c r="AS154" t="s">
        <v>2714</v>
      </c>
      <c r="AT154" t="s">
        <v>1184</v>
      </c>
      <c r="AU154">
        <v>2007</v>
      </c>
      <c r="AV154">
        <v>50</v>
      </c>
      <c r="AW154">
        <v>8</v>
      </c>
      <c r="AX154" t="s">
        <v>74</v>
      </c>
      <c r="AY154" t="s">
        <v>74</v>
      </c>
      <c r="AZ154" t="s">
        <v>74</v>
      </c>
      <c r="BA154" t="s">
        <v>74</v>
      </c>
      <c r="BB154">
        <v>1179</v>
      </c>
      <c r="BC154">
        <v>1188</v>
      </c>
      <c r="BD154" t="s">
        <v>74</v>
      </c>
      <c r="BE154" t="s">
        <v>2715</v>
      </c>
      <c r="BF154" t="str">
        <f>HYPERLINK("http://dx.doi.org/10.1007/s11430-007-0054-4","http://dx.doi.org/10.1007/s11430-007-0054-4")</f>
        <v>http://dx.doi.org/10.1007/s11430-007-0054-4</v>
      </c>
      <c r="BG154" t="s">
        <v>74</v>
      </c>
      <c r="BH154" t="s">
        <v>74</v>
      </c>
      <c r="BI154">
        <v>10</v>
      </c>
      <c r="BJ154" t="s">
        <v>151</v>
      </c>
      <c r="BK154" t="s">
        <v>98</v>
      </c>
      <c r="BL154" t="s">
        <v>152</v>
      </c>
      <c r="BM154" t="s">
        <v>2716</v>
      </c>
      <c r="BN154" t="s">
        <v>74</v>
      </c>
      <c r="BO154" t="s">
        <v>74</v>
      </c>
      <c r="BP154" t="s">
        <v>74</v>
      </c>
      <c r="BQ154" t="s">
        <v>74</v>
      </c>
      <c r="BR154" t="s">
        <v>101</v>
      </c>
      <c r="BS154" t="s">
        <v>2717</v>
      </c>
      <c r="BT154" t="str">
        <f>HYPERLINK("https%3A%2F%2Fwww.webofscience.com%2Fwos%2Fwoscc%2Ffull-record%2FWOS:000247978200007","View Full Record in Web of Science")</f>
        <v>View Full Record in Web of Science</v>
      </c>
    </row>
    <row r="155" spans="1:72" x14ac:dyDescent="0.15">
      <c r="A155" t="s">
        <v>72</v>
      </c>
      <c r="B155" t="s">
        <v>2718</v>
      </c>
      <c r="C155" t="s">
        <v>74</v>
      </c>
      <c r="D155" t="s">
        <v>74</v>
      </c>
      <c r="E155" t="s">
        <v>74</v>
      </c>
      <c r="F155" t="s">
        <v>2719</v>
      </c>
      <c r="G155" t="s">
        <v>74</v>
      </c>
      <c r="H155" t="s">
        <v>74</v>
      </c>
      <c r="I155" t="s">
        <v>2720</v>
      </c>
      <c r="J155" t="s">
        <v>2701</v>
      </c>
      <c r="K155" t="s">
        <v>74</v>
      </c>
      <c r="L155" t="s">
        <v>74</v>
      </c>
      <c r="M155" t="s">
        <v>78</v>
      </c>
      <c r="N155" t="s">
        <v>79</v>
      </c>
      <c r="O155" t="s">
        <v>74</v>
      </c>
      <c r="P155" t="s">
        <v>74</v>
      </c>
      <c r="Q155" t="s">
        <v>74</v>
      </c>
      <c r="R155" t="s">
        <v>74</v>
      </c>
      <c r="S155" t="s">
        <v>74</v>
      </c>
      <c r="T155" t="s">
        <v>2721</v>
      </c>
      <c r="U155" t="s">
        <v>2722</v>
      </c>
      <c r="V155" t="s">
        <v>2723</v>
      </c>
      <c r="W155" t="s">
        <v>2724</v>
      </c>
      <c r="X155" t="s">
        <v>2725</v>
      </c>
      <c r="Y155" t="s">
        <v>2726</v>
      </c>
      <c r="Z155" t="s">
        <v>2727</v>
      </c>
      <c r="AA155" t="s">
        <v>2728</v>
      </c>
      <c r="AB155" t="s">
        <v>74</v>
      </c>
      <c r="AC155" t="s">
        <v>74</v>
      </c>
      <c r="AD155" t="s">
        <v>74</v>
      </c>
      <c r="AE155" t="s">
        <v>74</v>
      </c>
      <c r="AF155" t="s">
        <v>74</v>
      </c>
      <c r="AG155">
        <v>31</v>
      </c>
      <c r="AH155">
        <v>61</v>
      </c>
      <c r="AI155">
        <v>66</v>
      </c>
      <c r="AJ155">
        <v>1</v>
      </c>
      <c r="AK155">
        <v>15</v>
      </c>
      <c r="AL155" t="s">
        <v>2709</v>
      </c>
      <c r="AM155" t="s">
        <v>2710</v>
      </c>
      <c r="AN155" t="s">
        <v>2711</v>
      </c>
      <c r="AO155" t="s">
        <v>2712</v>
      </c>
      <c r="AP155" t="s">
        <v>74</v>
      </c>
      <c r="AQ155" t="s">
        <v>74</v>
      </c>
      <c r="AR155" t="s">
        <v>2713</v>
      </c>
      <c r="AS155" t="s">
        <v>2714</v>
      </c>
      <c r="AT155" t="s">
        <v>1184</v>
      </c>
      <c r="AU155">
        <v>2007</v>
      </c>
      <c r="AV155">
        <v>50</v>
      </c>
      <c r="AW155">
        <v>8</v>
      </c>
      <c r="AX155" t="s">
        <v>74</v>
      </c>
      <c r="AY155" t="s">
        <v>74</v>
      </c>
      <c r="AZ155" t="s">
        <v>74</v>
      </c>
      <c r="BA155" t="s">
        <v>74</v>
      </c>
      <c r="BB155">
        <v>1251</v>
      </c>
      <c r="BC155">
        <v>1257</v>
      </c>
      <c r="BD155" t="s">
        <v>74</v>
      </c>
      <c r="BE155" t="s">
        <v>2729</v>
      </c>
      <c r="BF155" t="str">
        <f>HYPERLINK("http://dx.doi.org/10.1007/s11430-007-0076-y","http://dx.doi.org/10.1007/s11430-007-0076-y")</f>
        <v>http://dx.doi.org/10.1007/s11430-007-0076-y</v>
      </c>
      <c r="BG155" t="s">
        <v>74</v>
      </c>
      <c r="BH155" t="s">
        <v>74</v>
      </c>
      <c r="BI155">
        <v>7</v>
      </c>
      <c r="BJ155" t="s">
        <v>151</v>
      </c>
      <c r="BK155" t="s">
        <v>98</v>
      </c>
      <c r="BL155" t="s">
        <v>152</v>
      </c>
      <c r="BM155" t="s">
        <v>2716</v>
      </c>
      <c r="BN155" t="s">
        <v>74</v>
      </c>
      <c r="BO155" t="s">
        <v>74</v>
      </c>
      <c r="BP155" t="s">
        <v>74</v>
      </c>
      <c r="BQ155" t="s">
        <v>74</v>
      </c>
      <c r="BR155" t="s">
        <v>101</v>
      </c>
      <c r="BS155" t="s">
        <v>2730</v>
      </c>
      <c r="BT155" t="str">
        <f>HYPERLINK("https%3A%2F%2Fwww.webofscience.com%2Fwos%2Fwoscc%2Ffull-record%2FWOS:000247978200015","View Full Record in Web of Science")</f>
        <v>View Full Record in Web of Science</v>
      </c>
    </row>
    <row r="156" spans="1:72" x14ac:dyDescent="0.15">
      <c r="A156" t="s">
        <v>72</v>
      </c>
      <c r="B156" t="s">
        <v>2731</v>
      </c>
      <c r="C156" t="s">
        <v>74</v>
      </c>
      <c r="D156" t="s">
        <v>74</v>
      </c>
      <c r="E156" t="s">
        <v>74</v>
      </c>
      <c r="F156" t="s">
        <v>2732</v>
      </c>
      <c r="G156" t="s">
        <v>74</v>
      </c>
      <c r="H156" t="s">
        <v>74</v>
      </c>
      <c r="I156" t="s">
        <v>2733</v>
      </c>
      <c r="J156" t="s">
        <v>2734</v>
      </c>
      <c r="K156" t="s">
        <v>74</v>
      </c>
      <c r="L156" t="s">
        <v>74</v>
      </c>
      <c r="M156" t="s">
        <v>78</v>
      </c>
      <c r="N156" t="s">
        <v>620</v>
      </c>
      <c r="O156" t="s">
        <v>74</v>
      </c>
      <c r="P156" t="s">
        <v>74</v>
      </c>
      <c r="Q156" t="s">
        <v>74</v>
      </c>
      <c r="R156" t="s">
        <v>74</v>
      </c>
      <c r="S156" t="s">
        <v>74</v>
      </c>
      <c r="T156" t="s">
        <v>74</v>
      </c>
      <c r="U156" t="s">
        <v>74</v>
      </c>
      <c r="V156" t="s">
        <v>2735</v>
      </c>
      <c r="W156" t="s">
        <v>2736</v>
      </c>
      <c r="X156" t="s">
        <v>2737</v>
      </c>
      <c r="Y156" t="s">
        <v>2738</v>
      </c>
      <c r="Z156" t="s">
        <v>2739</v>
      </c>
      <c r="AA156" t="s">
        <v>74</v>
      </c>
      <c r="AB156" t="s">
        <v>74</v>
      </c>
      <c r="AC156" t="s">
        <v>74</v>
      </c>
      <c r="AD156" t="s">
        <v>74</v>
      </c>
      <c r="AE156" t="s">
        <v>74</v>
      </c>
      <c r="AF156" t="s">
        <v>74</v>
      </c>
      <c r="AG156">
        <v>0</v>
      </c>
      <c r="AH156">
        <v>14</v>
      </c>
      <c r="AI156">
        <v>14</v>
      </c>
      <c r="AJ156">
        <v>0</v>
      </c>
      <c r="AK156">
        <v>2</v>
      </c>
      <c r="AL156" t="s">
        <v>2740</v>
      </c>
      <c r="AM156" t="s">
        <v>1504</v>
      </c>
      <c r="AN156" t="s">
        <v>2741</v>
      </c>
      <c r="AO156" t="s">
        <v>2742</v>
      </c>
      <c r="AP156" t="s">
        <v>74</v>
      </c>
      <c r="AQ156" t="s">
        <v>74</v>
      </c>
      <c r="AR156" t="s">
        <v>2734</v>
      </c>
      <c r="AS156" t="s">
        <v>2743</v>
      </c>
      <c r="AT156" t="s">
        <v>1184</v>
      </c>
      <c r="AU156">
        <v>2007</v>
      </c>
      <c r="AV156">
        <v>23</v>
      </c>
      <c r="AW156">
        <v>3</v>
      </c>
      <c r="AX156" t="s">
        <v>74</v>
      </c>
      <c r="AY156" t="s">
        <v>74</v>
      </c>
      <c r="AZ156" t="s">
        <v>74</v>
      </c>
      <c r="BA156" t="s">
        <v>74</v>
      </c>
      <c r="BB156">
        <v>147</v>
      </c>
      <c r="BC156">
        <v>149</v>
      </c>
      <c r="BD156" t="s">
        <v>74</v>
      </c>
      <c r="BE156" t="s">
        <v>2744</v>
      </c>
      <c r="BF156" t="str">
        <f>HYPERLINK("http://dx.doi.org/10.1016/j.spacepol.2007.06.006","http://dx.doi.org/10.1016/j.spacepol.2007.06.006")</f>
        <v>http://dx.doi.org/10.1016/j.spacepol.2007.06.006</v>
      </c>
      <c r="BG156" t="s">
        <v>74</v>
      </c>
      <c r="BH156" t="s">
        <v>74</v>
      </c>
      <c r="BI156">
        <v>3</v>
      </c>
      <c r="BJ156" t="s">
        <v>2745</v>
      </c>
      <c r="BK156" t="s">
        <v>2746</v>
      </c>
      <c r="BL156" t="s">
        <v>2747</v>
      </c>
      <c r="BM156" t="s">
        <v>2748</v>
      </c>
      <c r="BN156" t="s">
        <v>74</v>
      </c>
      <c r="BO156" t="s">
        <v>74</v>
      </c>
      <c r="BP156" t="s">
        <v>74</v>
      </c>
      <c r="BQ156" t="s">
        <v>74</v>
      </c>
      <c r="BR156" t="s">
        <v>101</v>
      </c>
      <c r="BS156" t="s">
        <v>2749</v>
      </c>
      <c r="BT156" t="str">
        <f>HYPERLINK("https%3A%2F%2Fwww.webofscience.com%2Fwos%2Fwoscc%2Ffull-record%2FWOS:000249701200004","View Full Record in Web of Science")</f>
        <v>View Full Record in Web of Science</v>
      </c>
    </row>
    <row r="157" spans="1:72" x14ac:dyDescent="0.15">
      <c r="A157" t="s">
        <v>72</v>
      </c>
      <c r="B157" t="s">
        <v>2750</v>
      </c>
      <c r="C157" t="s">
        <v>74</v>
      </c>
      <c r="D157" t="s">
        <v>74</v>
      </c>
      <c r="E157" t="s">
        <v>74</v>
      </c>
      <c r="F157" t="s">
        <v>2751</v>
      </c>
      <c r="G157" t="s">
        <v>74</v>
      </c>
      <c r="H157" t="s">
        <v>74</v>
      </c>
      <c r="I157" t="s">
        <v>2752</v>
      </c>
      <c r="J157" t="s">
        <v>416</v>
      </c>
      <c r="K157" t="s">
        <v>74</v>
      </c>
      <c r="L157" t="s">
        <v>74</v>
      </c>
      <c r="M157" t="s">
        <v>78</v>
      </c>
      <c r="N157" t="s">
        <v>79</v>
      </c>
      <c r="O157" t="s">
        <v>74</v>
      </c>
      <c r="P157" t="s">
        <v>74</v>
      </c>
      <c r="Q157" t="s">
        <v>74</v>
      </c>
      <c r="R157" t="s">
        <v>74</v>
      </c>
      <c r="S157" t="s">
        <v>74</v>
      </c>
      <c r="T157" t="s">
        <v>74</v>
      </c>
      <c r="U157" t="s">
        <v>2753</v>
      </c>
      <c r="V157" t="s">
        <v>2754</v>
      </c>
      <c r="W157" t="s">
        <v>2755</v>
      </c>
      <c r="X157" t="s">
        <v>2756</v>
      </c>
      <c r="Y157" t="s">
        <v>2757</v>
      </c>
      <c r="Z157" t="s">
        <v>2758</v>
      </c>
      <c r="AA157" t="s">
        <v>2759</v>
      </c>
      <c r="AB157" t="s">
        <v>2760</v>
      </c>
      <c r="AC157" t="s">
        <v>74</v>
      </c>
      <c r="AD157" t="s">
        <v>74</v>
      </c>
      <c r="AE157" t="s">
        <v>74</v>
      </c>
      <c r="AF157" t="s">
        <v>74</v>
      </c>
      <c r="AG157">
        <v>57</v>
      </c>
      <c r="AH157">
        <v>6</v>
      </c>
      <c r="AI157">
        <v>6</v>
      </c>
      <c r="AJ157">
        <v>0</v>
      </c>
      <c r="AK157">
        <v>14</v>
      </c>
      <c r="AL157" t="s">
        <v>141</v>
      </c>
      <c r="AM157" t="s">
        <v>142</v>
      </c>
      <c r="AN157" t="s">
        <v>143</v>
      </c>
      <c r="AO157" t="s">
        <v>427</v>
      </c>
      <c r="AP157" t="s">
        <v>428</v>
      </c>
      <c r="AQ157" t="s">
        <v>74</v>
      </c>
      <c r="AR157" t="s">
        <v>429</v>
      </c>
      <c r="AS157" t="s">
        <v>430</v>
      </c>
      <c r="AT157" t="s">
        <v>2761</v>
      </c>
      <c r="AU157">
        <v>2007</v>
      </c>
      <c r="AV157">
        <v>112</v>
      </c>
      <c r="AW157" t="s">
        <v>2762</v>
      </c>
      <c r="AX157" t="s">
        <v>74</v>
      </c>
      <c r="AY157" t="s">
        <v>74</v>
      </c>
      <c r="AZ157" t="s">
        <v>74</v>
      </c>
      <c r="BA157" t="s">
        <v>74</v>
      </c>
      <c r="BB157" t="s">
        <v>74</v>
      </c>
      <c r="BC157" t="s">
        <v>74</v>
      </c>
      <c r="BD157" t="s">
        <v>2763</v>
      </c>
      <c r="BE157" t="s">
        <v>2764</v>
      </c>
      <c r="BF157" t="str">
        <f>HYPERLINK("http://dx.doi.org/10.1029/2006JD007451","http://dx.doi.org/10.1029/2006JD007451")</f>
        <v>http://dx.doi.org/10.1029/2006JD007451</v>
      </c>
      <c r="BG157" t="s">
        <v>74</v>
      </c>
      <c r="BH157" t="s">
        <v>74</v>
      </c>
      <c r="BI157">
        <v>11</v>
      </c>
      <c r="BJ157" t="s">
        <v>435</v>
      </c>
      <c r="BK157" t="s">
        <v>98</v>
      </c>
      <c r="BL157" t="s">
        <v>435</v>
      </c>
      <c r="BM157" t="s">
        <v>2765</v>
      </c>
      <c r="BN157" t="s">
        <v>74</v>
      </c>
      <c r="BO157" t="s">
        <v>74</v>
      </c>
      <c r="BP157" t="s">
        <v>74</v>
      </c>
      <c r="BQ157" t="s">
        <v>74</v>
      </c>
      <c r="BR157" t="s">
        <v>101</v>
      </c>
      <c r="BS157" t="s">
        <v>2766</v>
      </c>
      <c r="BT157" t="str">
        <f>HYPERLINK("https%3A%2F%2Fwww.webofscience.com%2Fwos%2Fwoscc%2Ffull-record%2FWOS:000248599400001","View Full Record in Web of Science")</f>
        <v>View Full Record in Web of Science</v>
      </c>
    </row>
    <row r="158" spans="1:72" x14ac:dyDescent="0.15">
      <c r="A158" t="s">
        <v>72</v>
      </c>
      <c r="B158" t="s">
        <v>2767</v>
      </c>
      <c r="C158" t="s">
        <v>74</v>
      </c>
      <c r="D158" t="s">
        <v>74</v>
      </c>
      <c r="E158" t="s">
        <v>74</v>
      </c>
      <c r="F158" t="s">
        <v>2768</v>
      </c>
      <c r="G158" t="s">
        <v>74</v>
      </c>
      <c r="H158" t="s">
        <v>74</v>
      </c>
      <c r="I158" t="s">
        <v>2769</v>
      </c>
      <c r="J158" t="s">
        <v>694</v>
      </c>
      <c r="K158" t="s">
        <v>74</v>
      </c>
      <c r="L158" t="s">
        <v>74</v>
      </c>
      <c r="M158" t="s">
        <v>78</v>
      </c>
      <c r="N158" t="s">
        <v>79</v>
      </c>
      <c r="O158" t="s">
        <v>74</v>
      </c>
      <c r="P158" t="s">
        <v>74</v>
      </c>
      <c r="Q158" t="s">
        <v>74</v>
      </c>
      <c r="R158" t="s">
        <v>74</v>
      </c>
      <c r="S158" t="s">
        <v>74</v>
      </c>
      <c r="T158" t="s">
        <v>2770</v>
      </c>
      <c r="U158" t="s">
        <v>2771</v>
      </c>
      <c r="V158" t="s">
        <v>2772</v>
      </c>
      <c r="W158" t="s">
        <v>2773</v>
      </c>
      <c r="X158" t="s">
        <v>2774</v>
      </c>
      <c r="Y158" t="s">
        <v>2775</v>
      </c>
      <c r="Z158" t="s">
        <v>2776</v>
      </c>
      <c r="AA158" t="s">
        <v>2777</v>
      </c>
      <c r="AB158" t="s">
        <v>2778</v>
      </c>
      <c r="AC158" t="s">
        <v>2779</v>
      </c>
      <c r="AD158" t="s">
        <v>140</v>
      </c>
      <c r="AE158" t="s">
        <v>74</v>
      </c>
      <c r="AF158" t="s">
        <v>74</v>
      </c>
      <c r="AG158">
        <v>37</v>
      </c>
      <c r="AH158">
        <v>62</v>
      </c>
      <c r="AI158">
        <v>67</v>
      </c>
      <c r="AJ158">
        <v>1</v>
      </c>
      <c r="AK158">
        <v>44</v>
      </c>
      <c r="AL158" t="s">
        <v>272</v>
      </c>
      <c r="AM158" t="s">
        <v>273</v>
      </c>
      <c r="AN158" t="s">
        <v>274</v>
      </c>
      <c r="AO158" t="s">
        <v>704</v>
      </c>
      <c r="AP158" t="s">
        <v>705</v>
      </c>
      <c r="AQ158" t="s">
        <v>74</v>
      </c>
      <c r="AR158" t="s">
        <v>706</v>
      </c>
      <c r="AS158" t="s">
        <v>707</v>
      </c>
      <c r="AT158" t="s">
        <v>2780</v>
      </c>
      <c r="AU158">
        <v>2007</v>
      </c>
      <c r="AV158">
        <v>259</v>
      </c>
      <c r="AW158" t="s">
        <v>686</v>
      </c>
      <c r="AX158" t="s">
        <v>74</v>
      </c>
      <c r="AY158" t="s">
        <v>74</v>
      </c>
      <c r="AZ158" t="s">
        <v>74</v>
      </c>
      <c r="BA158" t="s">
        <v>74</v>
      </c>
      <c r="BB158">
        <v>297</v>
      </c>
      <c r="BC158">
        <v>306</v>
      </c>
      <c r="BD158" t="s">
        <v>74</v>
      </c>
      <c r="BE158" t="s">
        <v>2781</v>
      </c>
      <c r="BF158" t="str">
        <f>HYPERLINK("http://dx.doi.org/10.1016/j.epsl.2007.04.050","http://dx.doi.org/10.1016/j.epsl.2007.04.050")</f>
        <v>http://dx.doi.org/10.1016/j.epsl.2007.04.050</v>
      </c>
      <c r="BG158" t="s">
        <v>74</v>
      </c>
      <c r="BH158" t="s">
        <v>74</v>
      </c>
      <c r="BI158">
        <v>10</v>
      </c>
      <c r="BJ158" t="s">
        <v>688</v>
      </c>
      <c r="BK158" t="s">
        <v>98</v>
      </c>
      <c r="BL158" t="s">
        <v>688</v>
      </c>
      <c r="BM158" t="s">
        <v>2782</v>
      </c>
      <c r="BN158" t="s">
        <v>74</v>
      </c>
      <c r="BO158" t="s">
        <v>74</v>
      </c>
      <c r="BP158" t="s">
        <v>74</v>
      </c>
      <c r="BQ158" t="s">
        <v>74</v>
      </c>
      <c r="BR158" t="s">
        <v>101</v>
      </c>
      <c r="BS158" t="s">
        <v>2783</v>
      </c>
      <c r="BT158" t="str">
        <f>HYPERLINK("https%3A%2F%2Fwww.webofscience.com%2Fwos%2Fwoscc%2Ffull-record%2FWOS:000248535300006","View Full Record in Web of Science")</f>
        <v>View Full Record in Web of Science</v>
      </c>
    </row>
    <row r="159" spans="1:72" x14ac:dyDescent="0.15">
      <c r="A159" t="s">
        <v>72</v>
      </c>
      <c r="B159" t="s">
        <v>2784</v>
      </c>
      <c r="C159" t="s">
        <v>74</v>
      </c>
      <c r="D159" t="s">
        <v>74</v>
      </c>
      <c r="E159" t="s">
        <v>74</v>
      </c>
      <c r="F159" t="s">
        <v>2785</v>
      </c>
      <c r="G159" t="s">
        <v>74</v>
      </c>
      <c r="H159" t="s">
        <v>74</v>
      </c>
      <c r="I159" t="s">
        <v>2786</v>
      </c>
      <c r="J159" t="s">
        <v>694</v>
      </c>
      <c r="K159" t="s">
        <v>74</v>
      </c>
      <c r="L159" t="s">
        <v>74</v>
      </c>
      <c r="M159" t="s">
        <v>78</v>
      </c>
      <c r="N159" t="s">
        <v>79</v>
      </c>
      <c r="O159" t="s">
        <v>74</v>
      </c>
      <c r="P159" t="s">
        <v>74</v>
      </c>
      <c r="Q159" t="s">
        <v>74</v>
      </c>
      <c r="R159" t="s">
        <v>74</v>
      </c>
      <c r="S159" t="s">
        <v>74</v>
      </c>
      <c r="T159" t="s">
        <v>2787</v>
      </c>
      <c r="U159" t="s">
        <v>2788</v>
      </c>
      <c r="V159" t="s">
        <v>2789</v>
      </c>
      <c r="W159" t="s">
        <v>2790</v>
      </c>
      <c r="X159" t="s">
        <v>2791</v>
      </c>
      <c r="Y159" t="s">
        <v>2792</v>
      </c>
      <c r="Z159" t="s">
        <v>2793</v>
      </c>
      <c r="AA159" t="s">
        <v>74</v>
      </c>
      <c r="AB159" t="s">
        <v>74</v>
      </c>
      <c r="AC159" t="s">
        <v>74</v>
      </c>
      <c r="AD159" t="s">
        <v>74</v>
      </c>
      <c r="AE159" t="s">
        <v>74</v>
      </c>
      <c r="AF159" t="s">
        <v>74</v>
      </c>
      <c r="AG159">
        <v>37</v>
      </c>
      <c r="AH159">
        <v>21</v>
      </c>
      <c r="AI159">
        <v>29</v>
      </c>
      <c r="AJ159">
        <v>0</v>
      </c>
      <c r="AK159">
        <v>8</v>
      </c>
      <c r="AL159" t="s">
        <v>272</v>
      </c>
      <c r="AM159" t="s">
        <v>273</v>
      </c>
      <c r="AN159" t="s">
        <v>274</v>
      </c>
      <c r="AO159" t="s">
        <v>704</v>
      </c>
      <c r="AP159" t="s">
        <v>705</v>
      </c>
      <c r="AQ159" t="s">
        <v>74</v>
      </c>
      <c r="AR159" t="s">
        <v>706</v>
      </c>
      <c r="AS159" t="s">
        <v>707</v>
      </c>
      <c r="AT159" t="s">
        <v>2780</v>
      </c>
      <c r="AU159">
        <v>2007</v>
      </c>
      <c r="AV159">
        <v>259</v>
      </c>
      <c r="AW159" t="s">
        <v>686</v>
      </c>
      <c r="AX159" t="s">
        <v>74</v>
      </c>
      <c r="AY159" t="s">
        <v>74</v>
      </c>
      <c r="AZ159" t="s">
        <v>74</v>
      </c>
      <c r="BA159" t="s">
        <v>74</v>
      </c>
      <c r="BB159">
        <v>347</v>
      </c>
      <c r="BC159">
        <v>359</v>
      </c>
      <c r="BD159" t="s">
        <v>74</v>
      </c>
      <c r="BE159" t="s">
        <v>2794</v>
      </c>
      <c r="BF159" t="str">
        <f>HYPERLINK("http://dx.doi.org/10.1016/j.epsl.2007.04.046","http://dx.doi.org/10.1016/j.epsl.2007.04.046")</f>
        <v>http://dx.doi.org/10.1016/j.epsl.2007.04.046</v>
      </c>
      <c r="BG159" t="s">
        <v>74</v>
      </c>
      <c r="BH159" t="s">
        <v>74</v>
      </c>
      <c r="BI159">
        <v>13</v>
      </c>
      <c r="BJ159" t="s">
        <v>688</v>
      </c>
      <c r="BK159" t="s">
        <v>98</v>
      </c>
      <c r="BL159" t="s">
        <v>688</v>
      </c>
      <c r="BM159" t="s">
        <v>2782</v>
      </c>
      <c r="BN159" t="s">
        <v>74</v>
      </c>
      <c r="BO159" t="s">
        <v>74</v>
      </c>
      <c r="BP159" t="s">
        <v>74</v>
      </c>
      <c r="BQ159" t="s">
        <v>74</v>
      </c>
      <c r="BR159" t="s">
        <v>101</v>
      </c>
      <c r="BS159" t="s">
        <v>2795</v>
      </c>
      <c r="BT159" t="str">
        <f>HYPERLINK("https%3A%2F%2Fwww.webofscience.com%2Fwos%2Fwoscc%2Ffull-record%2FWOS:000248535300010","View Full Record in Web of Science")</f>
        <v>View Full Record in Web of Science</v>
      </c>
    </row>
    <row r="160" spans="1:72" x14ac:dyDescent="0.15">
      <c r="A160" t="s">
        <v>72</v>
      </c>
      <c r="B160" t="s">
        <v>2796</v>
      </c>
      <c r="C160" t="s">
        <v>74</v>
      </c>
      <c r="D160" t="s">
        <v>74</v>
      </c>
      <c r="E160" t="s">
        <v>74</v>
      </c>
      <c r="F160" t="s">
        <v>2797</v>
      </c>
      <c r="G160" t="s">
        <v>74</v>
      </c>
      <c r="H160" t="s">
        <v>74</v>
      </c>
      <c r="I160" t="s">
        <v>2798</v>
      </c>
      <c r="J160" t="s">
        <v>694</v>
      </c>
      <c r="K160" t="s">
        <v>74</v>
      </c>
      <c r="L160" t="s">
        <v>74</v>
      </c>
      <c r="M160" t="s">
        <v>78</v>
      </c>
      <c r="N160" t="s">
        <v>79</v>
      </c>
      <c r="O160" t="s">
        <v>74</v>
      </c>
      <c r="P160" t="s">
        <v>74</v>
      </c>
      <c r="Q160" t="s">
        <v>74</v>
      </c>
      <c r="R160" t="s">
        <v>74</v>
      </c>
      <c r="S160" t="s">
        <v>74</v>
      </c>
      <c r="T160" t="s">
        <v>2799</v>
      </c>
      <c r="U160" t="s">
        <v>2800</v>
      </c>
      <c r="V160" t="s">
        <v>2801</v>
      </c>
      <c r="W160" t="s">
        <v>2802</v>
      </c>
      <c r="X160" t="s">
        <v>2803</v>
      </c>
      <c r="Y160" t="s">
        <v>2804</v>
      </c>
      <c r="Z160" t="s">
        <v>2805</v>
      </c>
      <c r="AA160" t="s">
        <v>2806</v>
      </c>
      <c r="AB160" t="s">
        <v>2807</v>
      </c>
      <c r="AC160" t="s">
        <v>74</v>
      </c>
      <c r="AD160" t="s">
        <v>74</v>
      </c>
      <c r="AE160" t="s">
        <v>74</v>
      </c>
      <c r="AF160" t="s">
        <v>74</v>
      </c>
      <c r="AG160">
        <v>63</v>
      </c>
      <c r="AH160">
        <v>138</v>
      </c>
      <c r="AI160">
        <v>152</v>
      </c>
      <c r="AJ160">
        <v>0</v>
      </c>
      <c r="AK160">
        <v>19</v>
      </c>
      <c r="AL160" t="s">
        <v>272</v>
      </c>
      <c r="AM160" t="s">
        <v>273</v>
      </c>
      <c r="AN160" t="s">
        <v>274</v>
      </c>
      <c r="AO160" t="s">
        <v>704</v>
      </c>
      <c r="AP160" t="s">
        <v>705</v>
      </c>
      <c r="AQ160" t="s">
        <v>74</v>
      </c>
      <c r="AR160" t="s">
        <v>706</v>
      </c>
      <c r="AS160" t="s">
        <v>707</v>
      </c>
      <c r="AT160" t="s">
        <v>2780</v>
      </c>
      <c r="AU160">
        <v>2007</v>
      </c>
      <c r="AV160">
        <v>259</v>
      </c>
      <c r="AW160" t="s">
        <v>686</v>
      </c>
      <c r="AX160" t="s">
        <v>74</v>
      </c>
      <c r="AY160" t="s">
        <v>74</v>
      </c>
      <c r="AZ160" t="s">
        <v>74</v>
      </c>
      <c r="BA160" t="s">
        <v>74</v>
      </c>
      <c r="BB160">
        <v>400</v>
      </c>
      <c r="BC160">
        <v>413</v>
      </c>
      <c r="BD160" t="s">
        <v>74</v>
      </c>
      <c r="BE160" t="s">
        <v>2808</v>
      </c>
      <c r="BF160" t="str">
        <f>HYPERLINK("http://dx.doi.org/10.1016/j.epsl.2007.04.040","http://dx.doi.org/10.1016/j.epsl.2007.04.040")</f>
        <v>http://dx.doi.org/10.1016/j.epsl.2007.04.040</v>
      </c>
      <c r="BG160" t="s">
        <v>74</v>
      </c>
      <c r="BH160" t="s">
        <v>74</v>
      </c>
      <c r="BI160">
        <v>14</v>
      </c>
      <c r="BJ160" t="s">
        <v>688</v>
      </c>
      <c r="BK160" t="s">
        <v>98</v>
      </c>
      <c r="BL160" t="s">
        <v>688</v>
      </c>
      <c r="BM160" t="s">
        <v>2782</v>
      </c>
      <c r="BN160" t="s">
        <v>74</v>
      </c>
      <c r="BO160" t="s">
        <v>198</v>
      </c>
      <c r="BP160" t="s">
        <v>74</v>
      </c>
      <c r="BQ160" t="s">
        <v>74</v>
      </c>
      <c r="BR160" t="s">
        <v>101</v>
      </c>
      <c r="BS160" t="s">
        <v>2809</v>
      </c>
      <c r="BT160" t="str">
        <f>HYPERLINK("https%3A%2F%2Fwww.webofscience.com%2Fwos%2Fwoscc%2Ffull-record%2FWOS:000248535300014","View Full Record in Web of Science")</f>
        <v>View Full Record in Web of Science</v>
      </c>
    </row>
    <row r="161" spans="1:72" x14ac:dyDescent="0.15">
      <c r="A161" t="s">
        <v>72</v>
      </c>
      <c r="B161" t="s">
        <v>2810</v>
      </c>
      <c r="C161" t="s">
        <v>74</v>
      </c>
      <c r="D161" t="s">
        <v>74</v>
      </c>
      <c r="E161" t="s">
        <v>74</v>
      </c>
      <c r="F161" t="s">
        <v>2811</v>
      </c>
      <c r="G161" t="s">
        <v>74</v>
      </c>
      <c r="H161" t="s">
        <v>74</v>
      </c>
      <c r="I161" t="s">
        <v>2812</v>
      </c>
      <c r="J161" t="s">
        <v>694</v>
      </c>
      <c r="K161" t="s">
        <v>74</v>
      </c>
      <c r="L161" t="s">
        <v>74</v>
      </c>
      <c r="M161" t="s">
        <v>78</v>
      </c>
      <c r="N161" t="s">
        <v>79</v>
      </c>
      <c r="O161" t="s">
        <v>74</v>
      </c>
      <c r="P161" t="s">
        <v>74</v>
      </c>
      <c r="Q161" t="s">
        <v>74</v>
      </c>
      <c r="R161" t="s">
        <v>74</v>
      </c>
      <c r="S161" t="s">
        <v>74</v>
      </c>
      <c r="T161" t="s">
        <v>2813</v>
      </c>
      <c r="U161" t="s">
        <v>2814</v>
      </c>
      <c r="V161" t="s">
        <v>2815</v>
      </c>
      <c r="W161" t="s">
        <v>2816</v>
      </c>
      <c r="X161" t="s">
        <v>2817</v>
      </c>
      <c r="Y161" t="s">
        <v>2818</v>
      </c>
      <c r="Z161" t="s">
        <v>2819</v>
      </c>
      <c r="AA161" t="s">
        <v>74</v>
      </c>
      <c r="AB161" t="s">
        <v>2820</v>
      </c>
      <c r="AC161" t="s">
        <v>74</v>
      </c>
      <c r="AD161" t="s">
        <v>74</v>
      </c>
      <c r="AE161" t="s">
        <v>74</v>
      </c>
      <c r="AF161" t="s">
        <v>74</v>
      </c>
      <c r="AG161">
        <v>55</v>
      </c>
      <c r="AH161">
        <v>104</v>
      </c>
      <c r="AI161">
        <v>109</v>
      </c>
      <c r="AJ161">
        <v>2</v>
      </c>
      <c r="AK161">
        <v>46</v>
      </c>
      <c r="AL161" t="s">
        <v>272</v>
      </c>
      <c r="AM161" t="s">
        <v>273</v>
      </c>
      <c r="AN161" t="s">
        <v>274</v>
      </c>
      <c r="AO161" t="s">
        <v>704</v>
      </c>
      <c r="AP161" t="s">
        <v>705</v>
      </c>
      <c r="AQ161" t="s">
        <v>74</v>
      </c>
      <c r="AR161" t="s">
        <v>706</v>
      </c>
      <c r="AS161" t="s">
        <v>707</v>
      </c>
      <c r="AT161" t="s">
        <v>2780</v>
      </c>
      <c r="AU161">
        <v>2007</v>
      </c>
      <c r="AV161">
        <v>259</v>
      </c>
      <c r="AW161" t="s">
        <v>686</v>
      </c>
      <c r="AX161" t="s">
        <v>74</v>
      </c>
      <c r="AY161" t="s">
        <v>74</v>
      </c>
      <c r="AZ161" t="s">
        <v>74</v>
      </c>
      <c r="BA161" t="s">
        <v>74</v>
      </c>
      <c r="BB161">
        <v>432</v>
      </c>
      <c r="BC161">
        <v>441</v>
      </c>
      <c r="BD161" t="s">
        <v>74</v>
      </c>
      <c r="BE161" t="s">
        <v>2821</v>
      </c>
      <c r="BF161" t="str">
        <f>HYPERLINK("http://dx.doi.org/10.1016/j.epsl.2007.05.003","http://dx.doi.org/10.1016/j.epsl.2007.05.003")</f>
        <v>http://dx.doi.org/10.1016/j.epsl.2007.05.003</v>
      </c>
      <c r="BG161" t="s">
        <v>74</v>
      </c>
      <c r="BH161" t="s">
        <v>74</v>
      </c>
      <c r="BI161">
        <v>10</v>
      </c>
      <c r="BJ161" t="s">
        <v>688</v>
      </c>
      <c r="BK161" t="s">
        <v>98</v>
      </c>
      <c r="BL161" t="s">
        <v>688</v>
      </c>
      <c r="BM161" t="s">
        <v>2782</v>
      </c>
      <c r="BN161" t="s">
        <v>74</v>
      </c>
      <c r="BO161" t="s">
        <v>74</v>
      </c>
      <c r="BP161" t="s">
        <v>74</v>
      </c>
      <c r="BQ161" t="s">
        <v>74</v>
      </c>
      <c r="BR161" t="s">
        <v>101</v>
      </c>
      <c r="BS161" t="s">
        <v>2822</v>
      </c>
      <c r="BT161" t="str">
        <f>HYPERLINK("https%3A%2F%2Fwww.webofscience.com%2Fwos%2Fwoscc%2Ffull-record%2FWOS:000248535300016","View Full Record in Web of Science")</f>
        <v>View Full Record in Web of Science</v>
      </c>
    </row>
    <row r="162" spans="1:72" x14ac:dyDescent="0.15">
      <c r="A162" t="s">
        <v>72</v>
      </c>
      <c r="B162" t="s">
        <v>2823</v>
      </c>
      <c r="C162" t="s">
        <v>74</v>
      </c>
      <c r="D162" t="s">
        <v>74</v>
      </c>
      <c r="E162" t="s">
        <v>74</v>
      </c>
      <c r="F162" t="s">
        <v>2824</v>
      </c>
      <c r="G162" t="s">
        <v>74</v>
      </c>
      <c r="H162" t="s">
        <v>74</v>
      </c>
      <c r="I162" t="s">
        <v>2825</v>
      </c>
      <c r="J162" t="s">
        <v>203</v>
      </c>
      <c r="K162" t="s">
        <v>74</v>
      </c>
      <c r="L162" t="s">
        <v>74</v>
      </c>
      <c r="M162" t="s">
        <v>78</v>
      </c>
      <c r="N162" t="s">
        <v>79</v>
      </c>
      <c r="O162" t="s">
        <v>74</v>
      </c>
      <c r="P162" t="s">
        <v>74</v>
      </c>
      <c r="Q162" t="s">
        <v>74</v>
      </c>
      <c r="R162" t="s">
        <v>74</v>
      </c>
      <c r="S162" t="s">
        <v>74</v>
      </c>
      <c r="T162" t="s">
        <v>74</v>
      </c>
      <c r="U162" t="s">
        <v>2826</v>
      </c>
      <c r="V162" t="s">
        <v>2827</v>
      </c>
      <c r="W162" t="s">
        <v>2828</v>
      </c>
      <c r="X162" t="s">
        <v>623</v>
      </c>
      <c r="Y162" t="s">
        <v>2829</v>
      </c>
      <c r="Z162" t="s">
        <v>2830</v>
      </c>
      <c r="AA162" t="s">
        <v>2831</v>
      </c>
      <c r="AB162" t="s">
        <v>2832</v>
      </c>
      <c r="AC162" t="s">
        <v>74</v>
      </c>
      <c r="AD162" t="s">
        <v>74</v>
      </c>
      <c r="AE162" t="s">
        <v>74</v>
      </c>
      <c r="AF162" t="s">
        <v>74</v>
      </c>
      <c r="AG162">
        <v>42</v>
      </c>
      <c r="AH162">
        <v>180</v>
      </c>
      <c r="AI162">
        <v>196</v>
      </c>
      <c r="AJ162">
        <v>4</v>
      </c>
      <c r="AK162">
        <v>49</v>
      </c>
      <c r="AL162" t="s">
        <v>141</v>
      </c>
      <c r="AM162" t="s">
        <v>142</v>
      </c>
      <c r="AN162" t="s">
        <v>143</v>
      </c>
      <c r="AO162" t="s">
        <v>213</v>
      </c>
      <c r="AP162" t="s">
        <v>214</v>
      </c>
      <c r="AQ162" t="s">
        <v>74</v>
      </c>
      <c r="AR162" t="s">
        <v>215</v>
      </c>
      <c r="AS162" t="s">
        <v>216</v>
      </c>
      <c r="AT162" t="s">
        <v>2833</v>
      </c>
      <c r="AU162">
        <v>2007</v>
      </c>
      <c r="AV162">
        <v>112</v>
      </c>
      <c r="AW162" t="s">
        <v>2834</v>
      </c>
      <c r="AX162" t="s">
        <v>74</v>
      </c>
      <c r="AY162" t="s">
        <v>74</v>
      </c>
      <c r="AZ162" t="s">
        <v>74</v>
      </c>
      <c r="BA162" t="s">
        <v>74</v>
      </c>
      <c r="BB162" t="s">
        <v>74</v>
      </c>
      <c r="BC162" t="s">
        <v>74</v>
      </c>
      <c r="BD162" t="s">
        <v>2835</v>
      </c>
      <c r="BE162" t="s">
        <v>2836</v>
      </c>
      <c r="BF162" t="str">
        <f>HYPERLINK("http://dx.doi.org/10.1029/2006JC004072","http://dx.doi.org/10.1029/2006JC004072")</f>
        <v>http://dx.doi.org/10.1029/2006JC004072</v>
      </c>
      <c r="BG162" t="s">
        <v>74</v>
      </c>
      <c r="BH162" t="s">
        <v>74</v>
      </c>
      <c r="BI162">
        <v>17</v>
      </c>
      <c r="BJ162" t="s">
        <v>221</v>
      </c>
      <c r="BK162" t="s">
        <v>98</v>
      </c>
      <c r="BL162" t="s">
        <v>221</v>
      </c>
      <c r="BM162" t="s">
        <v>2837</v>
      </c>
      <c r="BN162" t="s">
        <v>74</v>
      </c>
      <c r="BO162" t="s">
        <v>74</v>
      </c>
      <c r="BP162" t="s">
        <v>74</v>
      </c>
      <c r="BQ162" t="s">
        <v>74</v>
      </c>
      <c r="BR162" t="s">
        <v>101</v>
      </c>
      <c r="BS162" t="s">
        <v>2838</v>
      </c>
      <c r="BT162" t="str">
        <f>HYPERLINK("https%3A%2F%2Fwww.webofscience.com%2Fwos%2Fwoscc%2Ffull-record%2FWOS:000248424400006","View Full Record in Web of Science")</f>
        <v>View Full Record in Web of Science</v>
      </c>
    </row>
    <row r="163" spans="1:72" x14ac:dyDescent="0.15">
      <c r="A163" t="s">
        <v>72</v>
      </c>
      <c r="B163" t="s">
        <v>2839</v>
      </c>
      <c r="C163" t="s">
        <v>74</v>
      </c>
      <c r="D163" t="s">
        <v>74</v>
      </c>
      <c r="E163" t="s">
        <v>74</v>
      </c>
      <c r="F163" t="s">
        <v>2840</v>
      </c>
      <c r="G163" t="s">
        <v>74</v>
      </c>
      <c r="H163" t="s">
        <v>74</v>
      </c>
      <c r="I163" t="s">
        <v>2841</v>
      </c>
      <c r="J163" t="s">
        <v>309</v>
      </c>
      <c r="K163" t="s">
        <v>74</v>
      </c>
      <c r="L163" t="s">
        <v>74</v>
      </c>
      <c r="M163" t="s">
        <v>78</v>
      </c>
      <c r="N163" t="s">
        <v>79</v>
      </c>
      <c r="O163" t="s">
        <v>74</v>
      </c>
      <c r="P163" t="s">
        <v>74</v>
      </c>
      <c r="Q163" t="s">
        <v>74</v>
      </c>
      <c r="R163" t="s">
        <v>74</v>
      </c>
      <c r="S163" t="s">
        <v>74</v>
      </c>
      <c r="T163" t="s">
        <v>74</v>
      </c>
      <c r="U163" t="s">
        <v>2842</v>
      </c>
      <c r="V163" t="s">
        <v>2843</v>
      </c>
      <c r="W163" t="s">
        <v>2844</v>
      </c>
      <c r="X163" t="s">
        <v>2845</v>
      </c>
      <c r="Y163" t="s">
        <v>2846</v>
      </c>
      <c r="Z163" t="s">
        <v>2847</v>
      </c>
      <c r="AA163" t="s">
        <v>74</v>
      </c>
      <c r="AB163" t="s">
        <v>2848</v>
      </c>
      <c r="AC163" t="s">
        <v>74</v>
      </c>
      <c r="AD163" t="s">
        <v>74</v>
      </c>
      <c r="AE163" t="s">
        <v>74</v>
      </c>
      <c r="AF163" t="s">
        <v>74</v>
      </c>
      <c r="AG163">
        <v>30</v>
      </c>
      <c r="AH163">
        <v>192</v>
      </c>
      <c r="AI163">
        <v>212</v>
      </c>
      <c r="AJ163">
        <v>4</v>
      </c>
      <c r="AK163">
        <v>67</v>
      </c>
      <c r="AL163" t="s">
        <v>318</v>
      </c>
      <c r="AM163" t="s">
        <v>142</v>
      </c>
      <c r="AN163" t="s">
        <v>319</v>
      </c>
      <c r="AO163" t="s">
        <v>320</v>
      </c>
      <c r="AP163" t="s">
        <v>74</v>
      </c>
      <c r="AQ163" t="s">
        <v>74</v>
      </c>
      <c r="AR163" t="s">
        <v>309</v>
      </c>
      <c r="AS163" t="s">
        <v>321</v>
      </c>
      <c r="AT163" t="s">
        <v>2849</v>
      </c>
      <c r="AU163">
        <v>2007</v>
      </c>
      <c r="AV163">
        <v>317</v>
      </c>
      <c r="AW163">
        <v>5837</v>
      </c>
      <c r="AX163" t="s">
        <v>74</v>
      </c>
      <c r="AY163" t="s">
        <v>74</v>
      </c>
      <c r="AZ163" t="s">
        <v>74</v>
      </c>
      <c r="BA163" t="s">
        <v>74</v>
      </c>
      <c r="BB163">
        <v>478</v>
      </c>
      <c r="BC163">
        <v>482</v>
      </c>
      <c r="BD163" t="s">
        <v>74</v>
      </c>
      <c r="BE163" t="s">
        <v>2850</v>
      </c>
      <c r="BF163" t="str">
        <f>HYPERLINK("http://dx.doi.org/10.1126/science.1142834","http://dx.doi.org/10.1126/science.1142834")</f>
        <v>http://dx.doi.org/10.1126/science.1142834</v>
      </c>
      <c r="BG163" t="s">
        <v>74</v>
      </c>
      <c r="BH163" t="s">
        <v>74</v>
      </c>
      <c r="BI163">
        <v>5</v>
      </c>
      <c r="BJ163" t="s">
        <v>241</v>
      </c>
      <c r="BK163" t="s">
        <v>98</v>
      </c>
      <c r="BL163" t="s">
        <v>242</v>
      </c>
      <c r="BM163" t="s">
        <v>2851</v>
      </c>
      <c r="BN163">
        <v>17588896</v>
      </c>
      <c r="BO163" t="s">
        <v>74</v>
      </c>
      <c r="BP163" t="s">
        <v>74</v>
      </c>
      <c r="BQ163" t="s">
        <v>74</v>
      </c>
      <c r="BR163" t="s">
        <v>101</v>
      </c>
      <c r="BS163" t="s">
        <v>2852</v>
      </c>
      <c r="BT163" t="str">
        <f>HYPERLINK("https%3A%2F%2Fwww.webofscience.com%2Fwos%2Fwoscc%2Ffull-record%2FWOS:000248339800035","View Full Record in Web of Science")</f>
        <v>View Full Record in Web of Science</v>
      </c>
    </row>
    <row r="164" spans="1:72" x14ac:dyDescent="0.15">
      <c r="A164" t="s">
        <v>72</v>
      </c>
      <c r="B164" t="s">
        <v>2853</v>
      </c>
      <c r="C164" t="s">
        <v>74</v>
      </c>
      <c r="D164" t="s">
        <v>74</v>
      </c>
      <c r="E164" t="s">
        <v>74</v>
      </c>
      <c r="F164" t="s">
        <v>2854</v>
      </c>
      <c r="G164" t="s">
        <v>74</v>
      </c>
      <c r="H164" t="s">
        <v>74</v>
      </c>
      <c r="I164" t="s">
        <v>2855</v>
      </c>
      <c r="J164" t="s">
        <v>309</v>
      </c>
      <c r="K164" t="s">
        <v>74</v>
      </c>
      <c r="L164" t="s">
        <v>74</v>
      </c>
      <c r="M164" t="s">
        <v>78</v>
      </c>
      <c r="N164" t="s">
        <v>79</v>
      </c>
      <c r="O164" t="s">
        <v>74</v>
      </c>
      <c r="P164" t="s">
        <v>74</v>
      </c>
      <c r="Q164" t="s">
        <v>74</v>
      </c>
      <c r="R164" t="s">
        <v>74</v>
      </c>
      <c r="S164" t="s">
        <v>74</v>
      </c>
      <c r="T164" t="s">
        <v>74</v>
      </c>
      <c r="U164" t="s">
        <v>2856</v>
      </c>
      <c r="V164" t="s">
        <v>2857</v>
      </c>
      <c r="W164" t="s">
        <v>2858</v>
      </c>
      <c r="X164" t="s">
        <v>2859</v>
      </c>
      <c r="Y164" t="s">
        <v>2860</v>
      </c>
      <c r="Z164" t="s">
        <v>2861</v>
      </c>
      <c r="AA164" t="s">
        <v>2862</v>
      </c>
      <c r="AB164" t="s">
        <v>2863</v>
      </c>
      <c r="AC164" t="s">
        <v>1527</v>
      </c>
      <c r="AD164" t="s">
        <v>140</v>
      </c>
      <c r="AE164" t="s">
        <v>74</v>
      </c>
      <c r="AF164" t="s">
        <v>74</v>
      </c>
      <c r="AG164">
        <v>49</v>
      </c>
      <c r="AH164">
        <v>507</v>
      </c>
      <c r="AI164">
        <v>538</v>
      </c>
      <c r="AJ164">
        <v>6</v>
      </c>
      <c r="AK164">
        <v>81</v>
      </c>
      <c r="AL164" t="s">
        <v>318</v>
      </c>
      <c r="AM164" t="s">
        <v>142</v>
      </c>
      <c r="AN164" t="s">
        <v>319</v>
      </c>
      <c r="AO164" t="s">
        <v>320</v>
      </c>
      <c r="AP164" t="s">
        <v>628</v>
      </c>
      <c r="AQ164" t="s">
        <v>74</v>
      </c>
      <c r="AR164" t="s">
        <v>309</v>
      </c>
      <c r="AS164" t="s">
        <v>321</v>
      </c>
      <c r="AT164" t="s">
        <v>2849</v>
      </c>
      <c r="AU164">
        <v>2007</v>
      </c>
      <c r="AV164">
        <v>317</v>
      </c>
      <c r="AW164">
        <v>5837</v>
      </c>
      <c r="AX164" t="s">
        <v>74</v>
      </c>
      <c r="AY164" t="s">
        <v>74</v>
      </c>
      <c r="AZ164" t="s">
        <v>74</v>
      </c>
      <c r="BA164" t="s">
        <v>74</v>
      </c>
      <c r="BB164">
        <v>502</v>
      </c>
      <c r="BC164">
        <v>507</v>
      </c>
      <c r="BD164" t="s">
        <v>74</v>
      </c>
      <c r="BE164" t="s">
        <v>2864</v>
      </c>
      <c r="BF164" t="str">
        <f>HYPERLINK("http://dx.doi.org/10.1126/science.1139994","http://dx.doi.org/10.1126/science.1139994")</f>
        <v>http://dx.doi.org/10.1126/science.1139994</v>
      </c>
      <c r="BG164" t="s">
        <v>74</v>
      </c>
      <c r="BH164" t="s">
        <v>74</v>
      </c>
      <c r="BI164">
        <v>6</v>
      </c>
      <c r="BJ164" t="s">
        <v>241</v>
      </c>
      <c r="BK164" t="s">
        <v>98</v>
      </c>
      <c r="BL164" t="s">
        <v>242</v>
      </c>
      <c r="BM164" t="s">
        <v>2851</v>
      </c>
      <c r="BN164">
        <v>17569824</v>
      </c>
      <c r="BO164" t="s">
        <v>74</v>
      </c>
      <c r="BP164" t="s">
        <v>74</v>
      </c>
      <c r="BQ164" t="s">
        <v>74</v>
      </c>
      <c r="BR164" t="s">
        <v>101</v>
      </c>
      <c r="BS164" t="s">
        <v>2865</v>
      </c>
      <c r="BT164" t="str">
        <f>HYPERLINK("https%3A%2F%2Fwww.webofscience.com%2Fwos%2Fwoscc%2Ffull-record%2FWOS:000248339800042","View Full Record in Web of Science")</f>
        <v>View Full Record in Web of Science</v>
      </c>
    </row>
    <row r="165" spans="1:72" x14ac:dyDescent="0.15">
      <c r="A165" t="s">
        <v>72</v>
      </c>
      <c r="B165" t="s">
        <v>2866</v>
      </c>
      <c r="C165" t="s">
        <v>74</v>
      </c>
      <c r="D165" t="s">
        <v>74</v>
      </c>
      <c r="E165" t="s">
        <v>74</v>
      </c>
      <c r="F165" t="s">
        <v>2867</v>
      </c>
      <c r="G165" t="s">
        <v>74</v>
      </c>
      <c r="H165" t="s">
        <v>74</v>
      </c>
      <c r="I165" t="s">
        <v>2868</v>
      </c>
      <c r="J165" t="s">
        <v>130</v>
      </c>
      <c r="K165" t="s">
        <v>74</v>
      </c>
      <c r="L165" t="s">
        <v>74</v>
      </c>
      <c r="M165" t="s">
        <v>78</v>
      </c>
      <c r="N165" t="s">
        <v>79</v>
      </c>
      <c r="O165" t="s">
        <v>74</v>
      </c>
      <c r="P165" t="s">
        <v>74</v>
      </c>
      <c r="Q165" t="s">
        <v>74</v>
      </c>
      <c r="R165" t="s">
        <v>74</v>
      </c>
      <c r="S165" t="s">
        <v>74</v>
      </c>
      <c r="T165" t="s">
        <v>74</v>
      </c>
      <c r="U165" t="s">
        <v>2869</v>
      </c>
      <c r="V165" t="s">
        <v>2870</v>
      </c>
      <c r="W165" t="s">
        <v>2871</v>
      </c>
      <c r="X165" t="s">
        <v>2872</v>
      </c>
      <c r="Y165" t="s">
        <v>2873</v>
      </c>
      <c r="Z165" t="s">
        <v>2874</v>
      </c>
      <c r="AA165" t="s">
        <v>2875</v>
      </c>
      <c r="AB165" t="s">
        <v>2876</v>
      </c>
      <c r="AC165" t="s">
        <v>74</v>
      </c>
      <c r="AD165" t="s">
        <v>74</v>
      </c>
      <c r="AE165" t="s">
        <v>74</v>
      </c>
      <c r="AF165" t="s">
        <v>74</v>
      </c>
      <c r="AG165">
        <v>11</v>
      </c>
      <c r="AH165">
        <v>23</v>
      </c>
      <c r="AI165">
        <v>23</v>
      </c>
      <c r="AJ165">
        <v>0</v>
      </c>
      <c r="AK165">
        <v>9</v>
      </c>
      <c r="AL165" t="s">
        <v>141</v>
      </c>
      <c r="AM165" t="s">
        <v>142</v>
      </c>
      <c r="AN165" t="s">
        <v>143</v>
      </c>
      <c r="AO165" t="s">
        <v>144</v>
      </c>
      <c r="AP165" t="s">
        <v>74</v>
      </c>
      <c r="AQ165" t="s">
        <v>74</v>
      </c>
      <c r="AR165" t="s">
        <v>146</v>
      </c>
      <c r="AS165" t="s">
        <v>147</v>
      </c>
      <c r="AT165" t="s">
        <v>2877</v>
      </c>
      <c r="AU165">
        <v>2007</v>
      </c>
      <c r="AV165">
        <v>34</v>
      </c>
      <c r="AW165">
        <v>14</v>
      </c>
      <c r="AX165" t="s">
        <v>74</v>
      </c>
      <c r="AY165" t="s">
        <v>74</v>
      </c>
      <c r="AZ165" t="s">
        <v>74</v>
      </c>
      <c r="BA165" t="s">
        <v>74</v>
      </c>
      <c r="BB165" t="s">
        <v>74</v>
      </c>
      <c r="BC165" t="s">
        <v>74</v>
      </c>
      <c r="BD165" t="s">
        <v>2878</v>
      </c>
      <c r="BE165" t="s">
        <v>2879</v>
      </c>
      <c r="BF165" t="str">
        <f>HYPERLINK("http://dx.doi.org/10.1029/2007GL029925","http://dx.doi.org/10.1029/2007GL029925")</f>
        <v>http://dx.doi.org/10.1029/2007GL029925</v>
      </c>
      <c r="BG165" t="s">
        <v>74</v>
      </c>
      <c r="BH165" t="s">
        <v>74</v>
      </c>
      <c r="BI165">
        <v>6</v>
      </c>
      <c r="BJ165" t="s">
        <v>151</v>
      </c>
      <c r="BK165" t="s">
        <v>98</v>
      </c>
      <c r="BL165" t="s">
        <v>152</v>
      </c>
      <c r="BM165" t="s">
        <v>2880</v>
      </c>
      <c r="BN165" t="s">
        <v>74</v>
      </c>
      <c r="BO165" t="s">
        <v>154</v>
      </c>
      <c r="BP165" t="s">
        <v>74</v>
      </c>
      <c r="BQ165" t="s">
        <v>74</v>
      </c>
      <c r="BR165" t="s">
        <v>101</v>
      </c>
      <c r="BS165" t="s">
        <v>2881</v>
      </c>
      <c r="BT165" t="str">
        <f>HYPERLINK("https%3A%2F%2Fwww.webofscience.com%2Fwos%2Fwoscc%2Ffull-record%2FWOS:000248420000001","View Full Record in Web of Science")</f>
        <v>View Full Record in Web of Science</v>
      </c>
    </row>
    <row r="166" spans="1:72" x14ac:dyDescent="0.15">
      <c r="A166" t="s">
        <v>72</v>
      </c>
      <c r="B166" t="s">
        <v>2882</v>
      </c>
      <c r="C166" t="s">
        <v>74</v>
      </c>
      <c r="D166" t="s">
        <v>74</v>
      </c>
      <c r="E166" t="s">
        <v>74</v>
      </c>
      <c r="F166" t="s">
        <v>2883</v>
      </c>
      <c r="G166" t="s">
        <v>74</v>
      </c>
      <c r="H166" t="s">
        <v>74</v>
      </c>
      <c r="I166" t="s">
        <v>2884</v>
      </c>
      <c r="J166" t="s">
        <v>130</v>
      </c>
      <c r="K166" t="s">
        <v>74</v>
      </c>
      <c r="L166" t="s">
        <v>74</v>
      </c>
      <c r="M166" t="s">
        <v>78</v>
      </c>
      <c r="N166" t="s">
        <v>79</v>
      </c>
      <c r="O166" t="s">
        <v>74</v>
      </c>
      <c r="P166" t="s">
        <v>74</v>
      </c>
      <c r="Q166" t="s">
        <v>74</v>
      </c>
      <c r="R166" t="s">
        <v>74</v>
      </c>
      <c r="S166" t="s">
        <v>74</v>
      </c>
      <c r="T166" t="s">
        <v>74</v>
      </c>
      <c r="U166" t="s">
        <v>2885</v>
      </c>
      <c r="V166" t="s">
        <v>2886</v>
      </c>
      <c r="W166" t="s">
        <v>2887</v>
      </c>
      <c r="X166" t="s">
        <v>2888</v>
      </c>
      <c r="Y166" t="s">
        <v>2889</v>
      </c>
      <c r="Z166" t="s">
        <v>2890</v>
      </c>
      <c r="AA166" t="s">
        <v>2891</v>
      </c>
      <c r="AB166" t="s">
        <v>2892</v>
      </c>
      <c r="AC166" t="s">
        <v>74</v>
      </c>
      <c r="AD166" t="s">
        <v>74</v>
      </c>
      <c r="AE166" t="s">
        <v>74</v>
      </c>
      <c r="AF166" t="s">
        <v>74</v>
      </c>
      <c r="AG166">
        <v>16</v>
      </c>
      <c r="AH166">
        <v>55</v>
      </c>
      <c r="AI166">
        <v>60</v>
      </c>
      <c r="AJ166">
        <v>0</v>
      </c>
      <c r="AK166">
        <v>12</v>
      </c>
      <c r="AL166" t="s">
        <v>141</v>
      </c>
      <c r="AM166" t="s">
        <v>142</v>
      </c>
      <c r="AN166" t="s">
        <v>143</v>
      </c>
      <c r="AO166" t="s">
        <v>144</v>
      </c>
      <c r="AP166" t="s">
        <v>145</v>
      </c>
      <c r="AQ166" t="s">
        <v>74</v>
      </c>
      <c r="AR166" t="s">
        <v>146</v>
      </c>
      <c r="AS166" t="s">
        <v>147</v>
      </c>
      <c r="AT166" t="s">
        <v>2877</v>
      </c>
      <c r="AU166">
        <v>2007</v>
      </c>
      <c r="AV166">
        <v>34</v>
      </c>
      <c r="AW166">
        <v>14</v>
      </c>
      <c r="AX166" t="s">
        <v>74</v>
      </c>
      <c r="AY166" t="s">
        <v>74</v>
      </c>
      <c r="AZ166" t="s">
        <v>74</v>
      </c>
      <c r="BA166" t="s">
        <v>74</v>
      </c>
      <c r="BB166" t="s">
        <v>74</v>
      </c>
      <c r="BC166" t="s">
        <v>74</v>
      </c>
      <c r="BD166" t="s">
        <v>2893</v>
      </c>
      <c r="BE166" t="s">
        <v>2894</v>
      </c>
      <c r="BF166" t="str">
        <f>HYPERLINK("http://dx.doi.org/10.1029/2007GL030340","http://dx.doi.org/10.1029/2007GL030340")</f>
        <v>http://dx.doi.org/10.1029/2007GL030340</v>
      </c>
      <c r="BG166" t="s">
        <v>74</v>
      </c>
      <c r="BH166" t="s">
        <v>74</v>
      </c>
      <c r="BI166">
        <v>5</v>
      </c>
      <c r="BJ166" t="s">
        <v>151</v>
      </c>
      <c r="BK166" t="s">
        <v>98</v>
      </c>
      <c r="BL166" t="s">
        <v>152</v>
      </c>
      <c r="BM166" t="s">
        <v>2880</v>
      </c>
      <c r="BN166" t="s">
        <v>74</v>
      </c>
      <c r="BO166" t="s">
        <v>833</v>
      </c>
      <c r="BP166" t="s">
        <v>74</v>
      </c>
      <c r="BQ166" t="s">
        <v>74</v>
      </c>
      <c r="BR166" t="s">
        <v>101</v>
      </c>
      <c r="BS166" t="s">
        <v>2895</v>
      </c>
      <c r="BT166" t="str">
        <f>HYPERLINK("https%3A%2F%2Fwww.webofscience.com%2Fwos%2Fwoscc%2Ffull-record%2FWOS:000248420000003","View Full Record in Web of Science")</f>
        <v>View Full Record in Web of Science</v>
      </c>
    </row>
    <row r="167" spans="1:72" x14ac:dyDescent="0.15">
      <c r="A167" t="s">
        <v>72</v>
      </c>
      <c r="B167" t="s">
        <v>2896</v>
      </c>
      <c r="C167" t="s">
        <v>74</v>
      </c>
      <c r="D167" t="s">
        <v>74</v>
      </c>
      <c r="E167" t="s">
        <v>74</v>
      </c>
      <c r="F167" t="s">
        <v>2897</v>
      </c>
      <c r="G167" t="s">
        <v>74</v>
      </c>
      <c r="H167" t="s">
        <v>74</v>
      </c>
      <c r="I167" t="s">
        <v>2898</v>
      </c>
      <c r="J167" t="s">
        <v>1133</v>
      </c>
      <c r="K167" t="s">
        <v>74</v>
      </c>
      <c r="L167" t="s">
        <v>74</v>
      </c>
      <c r="M167" t="s">
        <v>78</v>
      </c>
      <c r="N167" t="s">
        <v>79</v>
      </c>
      <c r="O167" t="s">
        <v>74</v>
      </c>
      <c r="P167" t="s">
        <v>74</v>
      </c>
      <c r="Q167" t="s">
        <v>74</v>
      </c>
      <c r="R167" t="s">
        <v>74</v>
      </c>
      <c r="S167" t="s">
        <v>74</v>
      </c>
      <c r="T167" t="s">
        <v>2899</v>
      </c>
      <c r="U167" t="s">
        <v>2900</v>
      </c>
      <c r="V167" t="s">
        <v>2901</v>
      </c>
      <c r="W167" t="s">
        <v>2902</v>
      </c>
      <c r="X167" t="s">
        <v>2903</v>
      </c>
      <c r="Y167" t="s">
        <v>2904</v>
      </c>
      <c r="Z167" t="s">
        <v>2905</v>
      </c>
      <c r="AA167" t="s">
        <v>2906</v>
      </c>
      <c r="AB167" t="s">
        <v>2907</v>
      </c>
      <c r="AC167" t="s">
        <v>74</v>
      </c>
      <c r="AD167" t="s">
        <v>74</v>
      </c>
      <c r="AE167" t="s">
        <v>74</v>
      </c>
      <c r="AF167" t="s">
        <v>74</v>
      </c>
      <c r="AG167">
        <v>52</v>
      </c>
      <c r="AH167">
        <v>22</v>
      </c>
      <c r="AI167">
        <v>22</v>
      </c>
      <c r="AJ167">
        <v>1</v>
      </c>
      <c r="AK167">
        <v>18</v>
      </c>
      <c r="AL167" t="s">
        <v>592</v>
      </c>
      <c r="AM167" t="s">
        <v>273</v>
      </c>
      <c r="AN167" t="s">
        <v>593</v>
      </c>
      <c r="AO167" t="s">
        <v>1144</v>
      </c>
      <c r="AP167" t="s">
        <v>1164</v>
      </c>
      <c r="AQ167" t="s">
        <v>74</v>
      </c>
      <c r="AR167" t="s">
        <v>1145</v>
      </c>
      <c r="AS167" t="s">
        <v>1146</v>
      </c>
      <c r="AT167" t="s">
        <v>2908</v>
      </c>
      <c r="AU167">
        <v>2007</v>
      </c>
      <c r="AV167">
        <v>251</v>
      </c>
      <c r="AW167">
        <v>1</v>
      </c>
      <c r="AX167" t="s">
        <v>74</v>
      </c>
      <c r="AY167" t="s">
        <v>74</v>
      </c>
      <c r="AZ167" t="s">
        <v>74</v>
      </c>
      <c r="BA167" t="s">
        <v>74</v>
      </c>
      <c r="BB167">
        <v>46</v>
      </c>
      <c r="BC167">
        <v>56</v>
      </c>
      <c r="BD167" t="s">
        <v>74</v>
      </c>
      <c r="BE167" t="s">
        <v>2909</v>
      </c>
      <c r="BF167" t="str">
        <f>HYPERLINK("http://dx.doi.org/10.1016/j.palaeo.2007.02.017","http://dx.doi.org/10.1016/j.palaeo.2007.02.017")</f>
        <v>http://dx.doi.org/10.1016/j.palaeo.2007.02.017</v>
      </c>
      <c r="BG167" t="s">
        <v>74</v>
      </c>
      <c r="BH167" t="s">
        <v>74</v>
      </c>
      <c r="BI167">
        <v>11</v>
      </c>
      <c r="BJ167" t="s">
        <v>1148</v>
      </c>
      <c r="BK167" t="s">
        <v>98</v>
      </c>
      <c r="BL167" t="s">
        <v>1149</v>
      </c>
      <c r="BM167" t="s">
        <v>2910</v>
      </c>
      <c r="BN167" t="s">
        <v>74</v>
      </c>
      <c r="BO167" t="s">
        <v>74</v>
      </c>
      <c r="BP167" t="s">
        <v>74</v>
      </c>
      <c r="BQ167" t="s">
        <v>74</v>
      </c>
      <c r="BR167" t="s">
        <v>101</v>
      </c>
      <c r="BS167" t="s">
        <v>2911</v>
      </c>
      <c r="BT167" t="str">
        <f>HYPERLINK("https%3A%2F%2Fwww.webofscience.com%2Fwos%2Fwoscc%2Ffull-record%2FWOS:000248742700004","View Full Record in Web of Science")</f>
        <v>View Full Record in Web of Science</v>
      </c>
    </row>
    <row r="168" spans="1:72" x14ac:dyDescent="0.15">
      <c r="A168" t="s">
        <v>72</v>
      </c>
      <c r="B168" t="s">
        <v>2912</v>
      </c>
      <c r="C168" t="s">
        <v>74</v>
      </c>
      <c r="D168" t="s">
        <v>74</v>
      </c>
      <c r="E168" t="s">
        <v>74</v>
      </c>
      <c r="F168" t="s">
        <v>2913</v>
      </c>
      <c r="G168" t="s">
        <v>74</v>
      </c>
      <c r="H168" t="s">
        <v>74</v>
      </c>
      <c r="I168" t="s">
        <v>2914</v>
      </c>
      <c r="J168" t="s">
        <v>897</v>
      </c>
      <c r="K168" t="s">
        <v>74</v>
      </c>
      <c r="L168" t="s">
        <v>74</v>
      </c>
      <c r="M168" t="s">
        <v>78</v>
      </c>
      <c r="N168" t="s">
        <v>79</v>
      </c>
      <c r="O168" t="s">
        <v>74</v>
      </c>
      <c r="P168" t="s">
        <v>74</v>
      </c>
      <c r="Q168" t="s">
        <v>74</v>
      </c>
      <c r="R168" t="s">
        <v>74</v>
      </c>
      <c r="S168" t="s">
        <v>74</v>
      </c>
      <c r="T168" t="s">
        <v>2915</v>
      </c>
      <c r="U168" t="s">
        <v>2916</v>
      </c>
      <c r="V168" t="s">
        <v>2917</v>
      </c>
      <c r="W168" t="s">
        <v>2918</v>
      </c>
      <c r="X168" t="s">
        <v>2919</v>
      </c>
      <c r="Y168" t="s">
        <v>2920</v>
      </c>
      <c r="Z168" t="s">
        <v>2921</v>
      </c>
      <c r="AA168" t="s">
        <v>2922</v>
      </c>
      <c r="AB168" t="s">
        <v>2923</v>
      </c>
      <c r="AC168" t="s">
        <v>74</v>
      </c>
      <c r="AD168" t="s">
        <v>74</v>
      </c>
      <c r="AE168" t="s">
        <v>74</v>
      </c>
      <c r="AF168" t="s">
        <v>74</v>
      </c>
      <c r="AG168">
        <v>50</v>
      </c>
      <c r="AH168">
        <v>55</v>
      </c>
      <c r="AI168">
        <v>60</v>
      </c>
      <c r="AJ168">
        <v>1</v>
      </c>
      <c r="AK168">
        <v>13</v>
      </c>
      <c r="AL168" t="s">
        <v>592</v>
      </c>
      <c r="AM168" t="s">
        <v>273</v>
      </c>
      <c r="AN168" t="s">
        <v>593</v>
      </c>
      <c r="AO168" t="s">
        <v>905</v>
      </c>
      <c r="AP168" t="s">
        <v>906</v>
      </c>
      <c r="AQ168" t="s">
        <v>74</v>
      </c>
      <c r="AR168" t="s">
        <v>907</v>
      </c>
      <c r="AS168" t="s">
        <v>908</v>
      </c>
      <c r="AT168" t="s">
        <v>2924</v>
      </c>
      <c r="AU168">
        <v>2007</v>
      </c>
      <c r="AV168">
        <v>205</v>
      </c>
      <c r="AW168" t="s">
        <v>686</v>
      </c>
      <c r="AX168" t="s">
        <v>74</v>
      </c>
      <c r="AY168" t="s">
        <v>74</v>
      </c>
      <c r="AZ168" t="s">
        <v>74</v>
      </c>
      <c r="BA168" t="s">
        <v>74</v>
      </c>
      <c r="BB168">
        <v>381</v>
      </c>
      <c r="BC168">
        <v>396</v>
      </c>
      <c r="BD168" t="s">
        <v>74</v>
      </c>
      <c r="BE168" t="s">
        <v>2925</v>
      </c>
      <c r="BF168" t="str">
        <f>HYPERLINK("http://dx.doi.org/10.1016/j.ecolmodel.2007.03.005","http://dx.doi.org/10.1016/j.ecolmodel.2007.03.005")</f>
        <v>http://dx.doi.org/10.1016/j.ecolmodel.2007.03.005</v>
      </c>
      <c r="BG168" t="s">
        <v>74</v>
      </c>
      <c r="BH168" t="s">
        <v>74</v>
      </c>
      <c r="BI168">
        <v>16</v>
      </c>
      <c r="BJ168" t="s">
        <v>910</v>
      </c>
      <c r="BK168" t="s">
        <v>98</v>
      </c>
      <c r="BL168" t="s">
        <v>911</v>
      </c>
      <c r="BM168" t="s">
        <v>2926</v>
      </c>
      <c r="BN168" t="s">
        <v>74</v>
      </c>
      <c r="BO168" t="s">
        <v>74</v>
      </c>
      <c r="BP168" t="s">
        <v>74</v>
      </c>
      <c r="BQ168" t="s">
        <v>74</v>
      </c>
      <c r="BR168" t="s">
        <v>101</v>
      </c>
      <c r="BS168" t="s">
        <v>2927</v>
      </c>
      <c r="BT168" t="str">
        <f>HYPERLINK("https%3A%2F%2Fwww.webofscience.com%2Fwos%2Fwoscc%2Ffull-record%2FWOS:000247378200010","View Full Record in Web of Science")</f>
        <v>View Full Record in Web of Science</v>
      </c>
    </row>
    <row r="169" spans="1:72" x14ac:dyDescent="0.15">
      <c r="A169" t="s">
        <v>72</v>
      </c>
      <c r="B169" t="s">
        <v>2928</v>
      </c>
      <c r="C169" t="s">
        <v>74</v>
      </c>
      <c r="D169" t="s">
        <v>74</v>
      </c>
      <c r="E169" t="s">
        <v>74</v>
      </c>
      <c r="F169" t="s">
        <v>2929</v>
      </c>
      <c r="G169" t="s">
        <v>74</v>
      </c>
      <c r="H169" t="s">
        <v>74</v>
      </c>
      <c r="I169" t="s">
        <v>2930</v>
      </c>
      <c r="J169" t="s">
        <v>130</v>
      </c>
      <c r="K169" t="s">
        <v>74</v>
      </c>
      <c r="L169" t="s">
        <v>74</v>
      </c>
      <c r="M169" t="s">
        <v>78</v>
      </c>
      <c r="N169" t="s">
        <v>79</v>
      </c>
      <c r="O169" t="s">
        <v>74</v>
      </c>
      <c r="P169" t="s">
        <v>74</v>
      </c>
      <c r="Q169" t="s">
        <v>74</v>
      </c>
      <c r="R169" t="s">
        <v>74</v>
      </c>
      <c r="S169" t="s">
        <v>74</v>
      </c>
      <c r="T169" t="s">
        <v>74</v>
      </c>
      <c r="U169" t="s">
        <v>2931</v>
      </c>
      <c r="V169" t="s">
        <v>2932</v>
      </c>
      <c r="W169" t="s">
        <v>2933</v>
      </c>
      <c r="X169" t="s">
        <v>2934</v>
      </c>
      <c r="Y169" t="s">
        <v>2935</v>
      </c>
      <c r="Z169" t="s">
        <v>2936</v>
      </c>
      <c r="AA169" t="s">
        <v>74</v>
      </c>
      <c r="AB169" t="s">
        <v>2937</v>
      </c>
      <c r="AC169" t="s">
        <v>74</v>
      </c>
      <c r="AD169" t="s">
        <v>74</v>
      </c>
      <c r="AE169" t="s">
        <v>74</v>
      </c>
      <c r="AF169" t="s">
        <v>74</v>
      </c>
      <c r="AG169">
        <v>18</v>
      </c>
      <c r="AH169">
        <v>19</v>
      </c>
      <c r="AI169">
        <v>22</v>
      </c>
      <c r="AJ169">
        <v>0</v>
      </c>
      <c r="AK169">
        <v>7</v>
      </c>
      <c r="AL169" t="s">
        <v>141</v>
      </c>
      <c r="AM169" t="s">
        <v>142</v>
      </c>
      <c r="AN169" t="s">
        <v>143</v>
      </c>
      <c r="AO169" t="s">
        <v>144</v>
      </c>
      <c r="AP169" t="s">
        <v>145</v>
      </c>
      <c r="AQ169" t="s">
        <v>74</v>
      </c>
      <c r="AR169" t="s">
        <v>146</v>
      </c>
      <c r="AS169" t="s">
        <v>147</v>
      </c>
      <c r="AT169" t="s">
        <v>2924</v>
      </c>
      <c r="AU169">
        <v>2007</v>
      </c>
      <c r="AV169">
        <v>34</v>
      </c>
      <c r="AW169">
        <v>14</v>
      </c>
      <c r="AX169" t="s">
        <v>74</v>
      </c>
      <c r="AY169" t="s">
        <v>74</v>
      </c>
      <c r="AZ169" t="s">
        <v>74</v>
      </c>
      <c r="BA169" t="s">
        <v>74</v>
      </c>
      <c r="BB169" t="s">
        <v>74</v>
      </c>
      <c r="BC169" t="s">
        <v>74</v>
      </c>
      <c r="BD169" t="s">
        <v>2938</v>
      </c>
      <c r="BE169" t="s">
        <v>2939</v>
      </c>
      <c r="BF169" t="str">
        <f>HYPERLINK("http://dx.doi.org/10.1029/2007GL030379","http://dx.doi.org/10.1029/2007GL030379")</f>
        <v>http://dx.doi.org/10.1029/2007GL030379</v>
      </c>
      <c r="BG169" t="s">
        <v>74</v>
      </c>
      <c r="BH169" t="s">
        <v>74</v>
      </c>
      <c r="BI169">
        <v>5</v>
      </c>
      <c r="BJ169" t="s">
        <v>151</v>
      </c>
      <c r="BK169" t="s">
        <v>98</v>
      </c>
      <c r="BL169" t="s">
        <v>152</v>
      </c>
      <c r="BM169" t="s">
        <v>2940</v>
      </c>
      <c r="BN169" t="s">
        <v>74</v>
      </c>
      <c r="BO169" t="s">
        <v>154</v>
      </c>
      <c r="BP169" t="s">
        <v>74</v>
      </c>
      <c r="BQ169" t="s">
        <v>74</v>
      </c>
      <c r="BR169" t="s">
        <v>101</v>
      </c>
      <c r="BS169" t="s">
        <v>2941</v>
      </c>
      <c r="BT169" t="str">
        <f>HYPERLINK("https%3A%2F%2Fwww.webofscience.com%2Fwos%2Fwoscc%2Ffull-record%2FWOS:000248419700007","View Full Record in Web of Science")</f>
        <v>View Full Record in Web of Science</v>
      </c>
    </row>
    <row r="170" spans="1:72" x14ac:dyDescent="0.15">
      <c r="A170" t="s">
        <v>72</v>
      </c>
      <c r="B170" t="s">
        <v>2942</v>
      </c>
      <c r="C170" t="s">
        <v>74</v>
      </c>
      <c r="D170" t="s">
        <v>74</v>
      </c>
      <c r="E170" t="s">
        <v>74</v>
      </c>
      <c r="F170" t="s">
        <v>2943</v>
      </c>
      <c r="G170" t="s">
        <v>74</v>
      </c>
      <c r="H170" t="s">
        <v>74</v>
      </c>
      <c r="I170" t="s">
        <v>2944</v>
      </c>
      <c r="J170" t="s">
        <v>2945</v>
      </c>
      <c r="K170" t="s">
        <v>74</v>
      </c>
      <c r="L170" t="s">
        <v>74</v>
      </c>
      <c r="M170" t="s">
        <v>78</v>
      </c>
      <c r="N170" t="s">
        <v>229</v>
      </c>
      <c r="O170" t="s">
        <v>74</v>
      </c>
      <c r="P170" t="s">
        <v>74</v>
      </c>
      <c r="Q170" t="s">
        <v>74</v>
      </c>
      <c r="R170" t="s">
        <v>74</v>
      </c>
      <c r="S170" t="s">
        <v>74</v>
      </c>
      <c r="T170" t="s">
        <v>74</v>
      </c>
      <c r="U170" t="s">
        <v>74</v>
      </c>
      <c r="V170" t="s">
        <v>74</v>
      </c>
      <c r="W170" t="s">
        <v>74</v>
      </c>
      <c r="X170" t="s">
        <v>74</v>
      </c>
      <c r="Y170" t="s">
        <v>74</v>
      </c>
      <c r="Z170" t="s">
        <v>74</v>
      </c>
      <c r="AA170" t="s">
        <v>74</v>
      </c>
      <c r="AB170" t="s">
        <v>74</v>
      </c>
      <c r="AC170" t="s">
        <v>74</v>
      </c>
      <c r="AD170" t="s">
        <v>74</v>
      </c>
      <c r="AE170" t="s">
        <v>74</v>
      </c>
      <c r="AF170" t="s">
        <v>74</v>
      </c>
      <c r="AG170">
        <v>1</v>
      </c>
      <c r="AH170">
        <v>1</v>
      </c>
      <c r="AI170">
        <v>1</v>
      </c>
      <c r="AJ170">
        <v>0</v>
      </c>
      <c r="AK170">
        <v>6</v>
      </c>
      <c r="AL170" t="s">
        <v>337</v>
      </c>
      <c r="AM170" t="s">
        <v>142</v>
      </c>
      <c r="AN170" t="s">
        <v>338</v>
      </c>
      <c r="AO170" t="s">
        <v>2946</v>
      </c>
      <c r="AP170" t="s">
        <v>74</v>
      </c>
      <c r="AQ170" t="s">
        <v>74</v>
      </c>
      <c r="AR170" t="s">
        <v>2947</v>
      </c>
      <c r="AS170" t="s">
        <v>2948</v>
      </c>
      <c r="AT170" t="s">
        <v>2949</v>
      </c>
      <c r="AU170">
        <v>2007</v>
      </c>
      <c r="AV170">
        <v>85</v>
      </c>
      <c r="AW170">
        <v>30</v>
      </c>
      <c r="AX170" t="s">
        <v>74</v>
      </c>
      <c r="AY170" t="s">
        <v>74</v>
      </c>
      <c r="AZ170" t="s">
        <v>74</v>
      </c>
      <c r="BA170" t="s">
        <v>74</v>
      </c>
      <c r="BB170">
        <v>9</v>
      </c>
      <c r="BC170">
        <v>9</v>
      </c>
      <c r="BD170" t="s">
        <v>74</v>
      </c>
      <c r="BE170" t="s">
        <v>74</v>
      </c>
      <c r="BF170" t="s">
        <v>74</v>
      </c>
      <c r="BG170" t="s">
        <v>74</v>
      </c>
      <c r="BH170" t="s">
        <v>74</v>
      </c>
      <c r="BI170">
        <v>1</v>
      </c>
      <c r="BJ170" t="s">
        <v>2950</v>
      </c>
      <c r="BK170" t="s">
        <v>98</v>
      </c>
      <c r="BL170" t="s">
        <v>2951</v>
      </c>
      <c r="BM170" t="s">
        <v>2952</v>
      </c>
      <c r="BN170" t="s">
        <v>74</v>
      </c>
      <c r="BO170" t="s">
        <v>74</v>
      </c>
      <c r="BP170" t="s">
        <v>74</v>
      </c>
      <c r="BQ170" t="s">
        <v>74</v>
      </c>
      <c r="BR170" t="s">
        <v>101</v>
      </c>
      <c r="BS170" t="s">
        <v>2953</v>
      </c>
      <c r="BT170" t="str">
        <f>HYPERLINK("https%3A%2F%2Fwww.webofscience.com%2Fwos%2Fwoscc%2Ffull-record%2FWOS:000248382600005","View Full Record in Web of Science")</f>
        <v>View Full Record in Web of Science</v>
      </c>
    </row>
    <row r="171" spans="1:72" x14ac:dyDescent="0.15">
      <c r="A171" t="s">
        <v>72</v>
      </c>
      <c r="B171" t="s">
        <v>2954</v>
      </c>
      <c r="C171" t="s">
        <v>74</v>
      </c>
      <c r="D171" t="s">
        <v>74</v>
      </c>
      <c r="E171" t="s">
        <v>74</v>
      </c>
      <c r="F171" t="s">
        <v>2955</v>
      </c>
      <c r="G171" t="s">
        <v>74</v>
      </c>
      <c r="H171" t="s">
        <v>74</v>
      </c>
      <c r="I171" t="s">
        <v>2956</v>
      </c>
      <c r="J171" t="s">
        <v>2957</v>
      </c>
      <c r="K171" t="s">
        <v>74</v>
      </c>
      <c r="L171" t="s">
        <v>74</v>
      </c>
      <c r="M171" t="s">
        <v>78</v>
      </c>
      <c r="N171" t="s">
        <v>79</v>
      </c>
      <c r="O171" t="s">
        <v>74</v>
      </c>
      <c r="P171" t="s">
        <v>74</v>
      </c>
      <c r="Q171" t="s">
        <v>74</v>
      </c>
      <c r="R171" t="s">
        <v>74</v>
      </c>
      <c r="S171" t="s">
        <v>74</v>
      </c>
      <c r="T171" t="s">
        <v>74</v>
      </c>
      <c r="U171" t="s">
        <v>2958</v>
      </c>
      <c r="V171" t="s">
        <v>2959</v>
      </c>
      <c r="W171" t="s">
        <v>2960</v>
      </c>
      <c r="X171" t="s">
        <v>2961</v>
      </c>
      <c r="Y171" t="s">
        <v>2962</v>
      </c>
      <c r="Z171" t="s">
        <v>74</v>
      </c>
      <c r="AA171" t="s">
        <v>2963</v>
      </c>
      <c r="AB171" t="s">
        <v>2964</v>
      </c>
      <c r="AC171" t="s">
        <v>2965</v>
      </c>
      <c r="AD171" t="s">
        <v>361</v>
      </c>
      <c r="AE171" t="s">
        <v>74</v>
      </c>
      <c r="AF171" t="s">
        <v>74</v>
      </c>
      <c r="AG171">
        <v>65</v>
      </c>
      <c r="AH171">
        <v>62</v>
      </c>
      <c r="AI171">
        <v>67</v>
      </c>
      <c r="AJ171">
        <v>0</v>
      </c>
      <c r="AK171">
        <v>6</v>
      </c>
      <c r="AL171" t="s">
        <v>141</v>
      </c>
      <c r="AM171" t="s">
        <v>142</v>
      </c>
      <c r="AN171" t="s">
        <v>143</v>
      </c>
      <c r="AO171" t="s">
        <v>2966</v>
      </c>
      <c r="AP171" t="s">
        <v>2967</v>
      </c>
      <c r="AQ171" t="s">
        <v>74</v>
      </c>
      <c r="AR171" t="s">
        <v>2968</v>
      </c>
      <c r="AS171" t="s">
        <v>2969</v>
      </c>
      <c r="AT171" t="s">
        <v>2970</v>
      </c>
      <c r="AU171">
        <v>2007</v>
      </c>
      <c r="AV171">
        <v>112</v>
      </c>
      <c r="AW171" t="s">
        <v>2971</v>
      </c>
      <c r="AX171" t="s">
        <v>74</v>
      </c>
      <c r="AY171" t="s">
        <v>74</v>
      </c>
      <c r="AZ171" t="s">
        <v>74</v>
      </c>
      <c r="BA171" t="s">
        <v>74</v>
      </c>
      <c r="BB171" t="s">
        <v>74</v>
      </c>
      <c r="BC171" t="s">
        <v>74</v>
      </c>
      <c r="BD171" t="s">
        <v>2972</v>
      </c>
      <c r="BE171" t="s">
        <v>2973</v>
      </c>
      <c r="BF171" t="str">
        <f>HYPERLINK("http://dx.doi.org/10.1029/2006JF000606","http://dx.doi.org/10.1029/2006JF000606")</f>
        <v>http://dx.doi.org/10.1029/2006JF000606</v>
      </c>
      <c r="BG171" t="s">
        <v>74</v>
      </c>
      <c r="BH171" t="s">
        <v>74</v>
      </c>
      <c r="BI171">
        <v>16</v>
      </c>
      <c r="BJ171" t="s">
        <v>151</v>
      </c>
      <c r="BK171" t="s">
        <v>98</v>
      </c>
      <c r="BL171" t="s">
        <v>152</v>
      </c>
      <c r="BM171" t="s">
        <v>2974</v>
      </c>
      <c r="BN171" t="s">
        <v>74</v>
      </c>
      <c r="BO171" t="s">
        <v>2975</v>
      </c>
      <c r="BP171" t="s">
        <v>74</v>
      </c>
      <c r="BQ171" t="s">
        <v>74</v>
      </c>
      <c r="BR171" t="s">
        <v>101</v>
      </c>
      <c r="BS171" t="s">
        <v>2976</v>
      </c>
      <c r="BT171" t="str">
        <f>HYPERLINK("https%3A%2F%2Fwww.webofscience.com%2Fwos%2Fwoscc%2Ffull-record%2FWOS:000248286700001","View Full Record in Web of Science")</f>
        <v>View Full Record in Web of Science</v>
      </c>
    </row>
    <row r="172" spans="1:72" x14ac:dyDescent="0.15">
      <c r="A172" t="s">
        <v>72</v>
      </c>
      <c r="B172" t="s">
        <v>2977</v>
      </c>
      <c r="C172" t="s">
        <v>74</v>
      </c>
      <c r="D172" t="s">
        <v>74</v>
      </c>
      <c r="E172" t="s">
        <v>74</v>
      </c>
      <c r="F172" t="s">
        <v>2978</v>
      </c>
      <c r="G172" t="s">
        <v>74</v>
      </c>
      <c r="H172" t="s">
        <v>74</v>
      </c>
      <c r="I172" t="s">
        <v>2979</v>
      </c>
      <c r="J172" t="s">
        <v>2980</v>
      </c>
      <c r="K172" t="s">
        <v>74</v>
      </c>
      <c r="L172" t="s">
        <v>74</v>
      </c>
      <c r="M172" t="s">
        <v>78</v>
      </c>
      <c r="N172" t="s">
        <v>79</v>
      </c>
      <c r="O172" t="s">
        <v>74</v>
      </c>
      <c r="P172" t="s">
        <v>74</v>
      </c>
      <c r="Q172" t="s">
        <v>74</v>
      </c>
      <c r="R172" t="s">
        <v>74</v>
      </c>
      <c r="S172" t="s">
        <v>74</v>
      </c>
      <c r="T172" t="s">
        <v>74</v>
      </c>
      <c r="U172" t="s">
        <v>74</v>
      </c>
      <c r="V172" t="s">
        <v>2981</v>
      </c>
      <c r="W172" t="s">
        <v>2982</v>
      </c>
      <c r="X172" t="s">
        <v>2983</v>
      </c>
      <c r="Y172" t="s">
        <v>2984</v>
      </c>
      <c r="Z172" t="s">
        <v>2985</v>
      </c>
      <c r="AA172" t="s">
        <v>2986</v>
      </c>
      <c r="AB172" t="s">
        <v>2987</v>
      </c>
      <c r="AC172" t="s">
        <v>74</v>
      </c>
      <c r="AD172" t="s">
        <v>74</v>
      </c>
      <c r="AE172" t="s">
        <v>74</v>
      </c>
      <c r="AF172" t="s">
        <v>74</v>
      </c>
      <c r="AG172">
        <v>8</v>
      </c>
      <c r="AH172">
        <v>4</v>
      </c>
      <c r="AI172">
        <v>4</v>
      </c>
      <c r="AJ172">
        <v>0</v>
      </c>
      <c r="AK172">
        <v>2</v>
      </c>
      <c r="AL172" t="s">
        <v>2988</v>
      </c>
      <c r="AM172" t="s">
        <v>142</v>
      </c>
      <c r="AN172" t="s">
        <v>2989</v>
      </c>
      <c r="AO172" t="s">
        <v>2990</v>
      </c>
      <c r="AP172" t="s">
        <v>2991</v>
      </c>
      <c r="AQ172" t="s">
        <v>74</v>
      </c>
      <c r="AR172" t="s">
        <v>2992</v>
      </c>
      <c r="AS172" t="s">
        <v>2993</v>
      </c>
      <c r="AT172" t="s">
        <v>2994</v>
      </c>
      <c r="AU172">
        <v>2007</v>
      </c>
      <c r="AV172">
        <v>46</v>
      </c>
      <c r="AW172">
        <v>21</v>
      </c>
      <c r="AX172" t="s">
        <v>74</v>
      </c>
      <c r="AY172" t="s">
        <v>74</v>
      </c>
      <c r="AZ172" t="s">
        <v>74</v>
      </c>
      <c r="BA172" t="s">
        <v>74</v>
      </c>
      <c r="BB172">
        <v>4754</v>
      </c>
      <c r="BC172">
        <v>4762</v>
      </c>
      <c r="BD172" t="s">
        <v>74</v>
      </c>
      <c r="BE172" t="s">
        <v>2995</v>
      </c>
      <c r="BF172" t="str">
        <f>HYPERLINK("http://dx.doi.org/10.1364/AO.46.004754","http://dx.doi.org/10.1364/AO.46.004754")</f>
        <v>http://dx.doi.org/10.1364/AO.46.004754</v>
      </c>
      <c r="BG172" t="s">
        <v>74</v>
      </c>
      <c r="BH172" t="s">
        <v>74</v>
      </c>
      <c r="BI172">
        <v>9</v>
      </c>
      <c r="BJ172" t="s">
        <v>2996</v>
      </c>
      <c r="BK172" t="s">
        <v>98</v>
      </c>
      <c r="BL172" t="s">
        <v>2996</v>
      </c>
      <c r="BM172" t="s">
        <v>2997</v>
      </c>
      <c r="BN172">
        <v>17609723</v>
      </c>
      <c r="BO172" t="s">
        <v>74</v>
      </c>
      <c r="BP172" t="s">
        <v>74</v>
      </c>
      <c r="BQ172" t="s">
        <v>74</v>
      </c>
      <c r="BR172" t="s">
        <v>101</v>
      </c>
      <c r="BS172" t="s">
        <v>2998</v>
      </c>
      <c r="BT172" t="str">
        <f>HYPERLINK("https%3A%2F%2Fwww.webofscience.com%2Fwos%2Fwoscc%2Ffull-record%2FWOS:000248138500027","View Full Record in Web of Science")</f>
        <v>View Full Record in Web of Science</v>
      </c>
    </row>
    <row r="173" spans="1:72" x14ac:dyDescent="0.15">
      <c r="A173" t="s">
        <v>72</v>
      </c>
      <c r="B173" t="s">
        <v>2999</v>
      </c>
      <c r="C173" t="s">
        <v>74</v>
      </c>
      <c r="D173" t="s">
        <v>74</v>
      </c>
      <c r="E173" t="s">
        <v>74</v>
      </c>
      <c r="F173" t="s">
        <v>3000</v>
      </c>
      <c r="G173" t="s">
        <v>74</v>
      </c>
      <c r="H173" t="s">
        <v>74</v>
      </c>
      <c r="I173" t="s">
        <v>3001</v>
      </c>
      <c r="J173" t="s">
        <v>309</v>
      </c>
      <c r="K173" t="s">
        <v>74</v>
      </c>
      <c r="L173" t="s">
        <v>74</v>
      </c>
      <c r="M173" t="s">
        <v>78</v>
      </c>
      <c r="N173" t="s">
        <v>79</v>
      </c>
      <c r="O173" t="s">
        <v>74</v>
      </c>
      <c r="P173" t="s">
        <v>74</v>
      </c>
      <c r="Q173" t="s">
        <v>74</v>
      </c>
      <c r="R173" t="s">
        <v>74</v>
      </c>
      <c r="S173" t="s">
        <v>74</v>
      </c>
      <c r="T173" t="s">
        <v>74</v>
      </c>
      <c r="U173" t="s">
        <v>3002</v>
      </c>
      <c r="V173" t="s">
        <v>3003</v>
      </c>
      <c r="W173" t="s">
        <v>3004</v>
      </c>
      <c r="X173" t="s">
        <v>3005</v>
      </c>
      <c r="Y173" t="s">
        <v>3006</v>
      </c>
      <c r="Z173" t="s">
        <v>3007</v>
      </c>
      <c r="AA173" t="s">
        <v>3008</v>
      </c>
      <c r="AB173" t="s">
        <v>3009</v>
      </c>
      <c r="AC173" t="s">
        <v>3010</v>
      </c>
      <c r="AD173" t="s">
        <v>426</v>
      </c>
      <c r="AE173" t="s">
        <v>74</v>
      </c>
      <c r="AF173" t="s">
        <v>74</v>
      </c>
      <c r="AG173">
        <v>27</v>
      </c>
      <c r="AH173">
        <v>227</v>
      </c>
      <c r="AI173">
        <v>255</v>
      </c>
      <c r="AJ173">
        <v>5</v>
      </c>
      <c r="AK173">
        <v>102</v>
      </c>
      <c r="AL173" t="s">
        <v>318</v>
      </c>
      <c r="AM173" t="s">
        <v>142</v>
      </c>
      <c r="AN173" t="s">
        <v>319</v>
      </c>
      <c r="AO173" t="s">
        <v>320</v>
      </c>
      <c r="AP173" t="s">
        <v>74</v>
      </c>
      <c r="AQ173" t="s">
        <v>74</v>
      </c>
      <c r="AR173" t="s">
        <v>309</v>
      </c>
      <c r="AS173" t="s">
        <v>321</v>
      </c>
      <c r="AT173" t="s">
        <v>2994</v>
      </c>
      <c r="AU173">
        <v>2007</v>
      </c>
      <c r="AV173">
        <v>317</v>
      </c>
      <c r="AW173">
        <v>5836</v>
      </c>
      <c r="AX173" t="s">
        <v>74</v>
      </c>
      <c r="AY173" t="s">
        <v>74</v>
      </c>
      <c r="AZ173" t="s">
        <v>74</v>
      </c>
      <c r="BA173" t="s">
        <v>74</v>
      </c>
      <c r="BB173">
        <v>348</v>
      </c>
      <c r="BC173">
        <v>351</v>
      </c>
      <c r="BD173" t="s">
        <v>74</v>
      </c>
      <c r="BE173" t="s">
        <v>3011</v>
      </c>
      <c r="BF173" t="str">
        <f>HYPERLINK("http://dx.doi.org/10.1126/science.1141408","http://dx.doi.org/10.1126/science.1141408")</f>
        <v>http://dx.doi.org/10.1126/science.1141408</v>
      </c>
      <c r="BG173" t="s">
        <v>74</v>
      </c>
      <c r="BH173" t="s">
        <v>74</v>
      </c>
      <c r="BI173">
        <v>4</v>
      </c>
      <c r="BJ173" t="s">
        <v>241</v>
      </c>
      <c r="BK173" t="s">
        <v>98</v>
      </c>
      <c r="BL173" t="s">
        <v>242</v>
      </c>
      <c r="BM173" t="s">
        <v>3012</v>
      </c>
      <c r="BN173">
        <v>17641195</v>
      </c>
      <c r="BO173" t="s">
        <v>74</v>
      </c>
      <c r="BP173" t="s">
        <v>74</v>
      </c>
      <c r="BQ173" t="s">
        <v>74</v>
      </c>
      <c r="BR173" t="s">
        <v>101</v>
      </c>
      <c r="BS173" t="s">
        <v>3013</v>
      </c>
      <c r="BT173" t="str">
        <f>HYPERLINK("https%3A%2F%2Fwww.webofscience.com%2Fwos%2Fwoscc%2Ffull-record%2FWOS:000248150200040","View Full Record in Web of Science")</f>
        <v>View Full Record in Web of Science</v>
      </c>
    </row>
    <row r="174" spans="1:72" x14ac:dyDescent="0.15">
      <c r="A174" t="s">
        <v>72</v>
      </c>
      <c r="B174" t="s">
        <v>3014</v>
      </c>
      <c r="C174" t="s">
        <v>74</v>
      </c>
      <c r="D174" t="s">
        <v>74</v>
      </c>
      <c r="E174" t="s">
        <v>74</v>
      </c>
      <c r="F174" t="s">
        <v>3015</v>
      </c>
      <c r="G174" t="s">
        <v>74</v>
      </c>
      <c r="H174" t="s">
        <v>74</v>
      </c>
      <c r="I174" t="s">
        <v>3016</v>
      </c>
      <c r="J174" t="s">
        <v>130</v>
      </c>
      <c r="K174" t="s">
        <v>74</v>
      </c>
      <c r="L174" t="s">
        <v>74</v>
      </c>
      <c r="M174" t="s">
        <v>78</v>
      </c>
      <c r="N174" t="s">
        <v>79</v>
      </c>
      <c r="O174" t="s">
        <v>74</v>
      </c>
      <c r="P174" t="s">
        <v>74</v>
      </c>
      <c r="Q174" t="s">
        <v>74</v>
      </c>
      <c r="R174" t="s">
        <v>74</v>
      </c>
      <c r="S174" t="s">
        <v>74</v>
      </c>
      <c r="T174" t="s">
        <v>74</v>
      </c>
      <c r="U174" t="s">
        <v>3017</v>
      </c>
      <c r="V174" t="s">
        <v>3018</v>
      </c>
      <c r="W174" t="s">
        <v>2067</v>
      </c>
      <c r="X174" t="s">
        <v>2068</v>
      </c>
      <c r="Y174" t="s">
        <v>3019</v>
      </c>
      <c r="Z174" t="s">
        <v>3020</v>
      </c>
      <c r="AA174" t="s">
        <v>3021</v>
      </c>
      <c r="AB174" t="s">
        <v>3022</v>
      </c>
      <c r="AC174" t="s">
        <v>74</v>
      </c>
      <c r="AD174" t="s">
        <v>74</v>
      </c>
      <c r="AE174" t="s">
        <v>74</v>
      </c>
      <c r="AF174" t="s">
        <v>74</v>
      </c>
      <c r="AG174">
        <v>25</v>
      </c>
      <c r="AH174">
        <v>106</v>
      </c>
      <c r="AI174">
        <v>114</v>
      </c>
      <c r="AJ174">
        <v>1</v>
      </c>
      <c r="AK174">
        <v>33</v>
      </c>
      <c r="AL174" t="s">
        <v>141</v>
      </c>
      <c r="AM174" t="s">
        <v>142</v>
      </c>
      <c r="AN174" t="s">
        <v>143</v>
      </c>
      <c r="AO174" t="s">
        <v>144</v>
      </c>
      <c r="AP174" t="s">
        <v>74</v>
      </c>
      <c r="AQ174" t="s">
        <v>74</v>
      </c>
      <c r="AR174" t="s">
        <v>146</v>
      </c>
      <c r="AS174" t="s">
        <v>147</v>
      </c>
      <c r="AT174" t="s">
        <v>3023</v>
      </c>
      <c r="AU174">
        <v>2007</v>
      </c>
      <c r="AV174">
        <v>34</v>
      </c>
      <c r="AW174">
        <v>14</v>
      </c>
      <c r="AX174" t="s">
        <v>74</v>
      </c>
      <c r="AY174" t="s">
        <v>74</v>
      </c>
      <c r="AZ174" t="s">
        <v>74</v>
      </c>
      <c r="BA174" t="s">
        <v>74</v>
      </c>
      <c r="BB174" t="s">
        <v>74</v>
      </c>
      <c r="BC174" t="s">
        <v>74</v>
      </c>
      <c r="BD174" t="s">
        <v>3024</v>
      </c>
      <c r="BE174" t="s">
        <v>3025</v>
      </c>
      <c r="BF174" t="str">
        <f>HYPERLINK("http://dx.doi.org/10.1029/2007GL030430","http://dx.doi.org/10.1029/2007GL030430")</f>
        <v>http://dx.doi.org/10.1029/2007GL030430</v>
      </c>
      <c r="BG174" t="s">
        <v>74</v>
      </c>
      <c r="BH174" t="s">
        <v>74</v>
      </c>
      <c r="BI174">
        <v>6</v>
      </c>
      <c r="BJ174" t="s">
        <v>151</v>
      </c>
      <c r="BK174" t="s">
        <v>98</v>
      </c>
      <c r="BL174" t="s">
        <v>152</v>
      </c>
      <c r="BM174" t="s">
        <v>3026</v>
      </c>
      <c r="BN174" t="s">
        <v>74</v>
      </c>
      <c r="BO174" t="s">
        <v>154</v>
      </c>
      <c r="BP174" t="s">
        <v>74</v>
      </c>
      <c r="BQ174" t="s">
        <v>74</v>
      </c>
      <c r="BR174" t="s">
        <v>101</v>
      </c>
      <c r="BS174" t="s">
        <v>3027</v>
      </c>
      <c r="BT174" t="str">
        <f>HYPERLINK("https%3A%2F%2Fwww.webofscience.com%2Fwos%2Fwoscc%2Ffull-record%2FWOS:000248285000010","View Full Record in Web of Science")</f>
        <v>View Full Record in Web of Science</v>
      </c>
    </row>
    <row r="175" spans="1:72" x14ac:dyDescent="0.15">
      <c r="A175" t="s">
        <v>72</v>
      </c>
      <c r="B175" t="s">
        <v>3028</v>
      </c>
      <c r="C175" t="s">
        <v>74</v>
      </c>
      <c r="D175" t="s">
        <v>74</v>
      </c>
      <c r="E175" t="s">
        <v>74</v>
      </c>
      <c r="F175" t="s">
        <v>3029</v>
      </c>
      <c r="G175" t="s">
        <v>74</v>
      </c>
      <c r="H175" t="s">
        <v>74</v>
      </c>
      <c r="I175" t="s">
        <v>3030</v>
      </c>
      <c r="J175" t="s">
        <v>130</v>
      </c>
      <c r="K175" t="s">
        <v>74</v>
      </c>
      <c r="L175" t="s">
        <v>74</v>
      </c>
      <c r="M175" t="s">
        <v>78</v>
      </c>
      <c r="N175" t="s">
        <v>79</v>
      </c>
      <c r="O175" t="s">
        <v>74</v>
      </c>
      <c r="P175" t="s">
        <v>74</v>
      </c>
      <c r="Q175" t="s">
        <v>74</v>
      </c>
      <c r="R175" t="s">
        <v>74</v>
      </c>
      <c r="S175" t="s">
        <v>74</v>
      </c>
      <c r="T175" t="s">
        <v>74</v>
      </c>
      <c r="U175" t="s">
        <v>3031</v>
      </c>
      <c r="V175" t="s">
        <v>3032</v>
      </c>
      <c r="W175" t="s">
        <v>3033</v>
      </c>
      <c r="X175" t="s">
        <v>3034</v>
      </c>
      <c r="Y175" t="s">
        <v>3035</v>
      </c>
      <c r="Z175" t="s">
        <v>3036</v>
      </c>
      <c r="AA175" t="s">
        <v>74</v>
      </c>
      <c r="AB175" t="s">
        <v>3037</v>
      </c>
      <c r="AC175" t="s">
        <v>74</v>
      </c>
      <c r="AD175" t="s">
        <v>74</v>
      </c>
      <c r="AE175" t="s">
        <v>74</v>
      </c>
      <c r="AF175" t="s">
        <v>74</v>
      </c>
      <c r="AG175">
        <v>22</v>
      </c>
      <c r="AH175">
        <v>26</v>
      </c>
      <c r="AI175">
        <v>27</v>
      </c>
      <c r="AJ175">
        <v>0</v>
      </c>
      <c r="AK175">
        <v>1</v>
      </c>
      <c r="AL175" t="s">
        <v>141</v>
      </c>
      <c r="AM175" t="s">
        <v>142</v>
      </c>
      <c r="AN175" t="s">
        <v>143</v>
      </c>
      <c r="AO175" t="s">
        <v>144</v>
      </c>
      <c r="AP175" t="s">
        <v>74</v>
      </c>
      <c r="AQ175" t="s">
        <v>74</v>
      </c>
      <c r="AR175" t="s">
        <v>146</v>
      </c>
      <c r="AS175" t="s">
        <v>147</v>
      </c>
      <c r="AT175" t="s">
        <v>3023</v>
      </c>
      <c r="AU175">
        <v>2007</v>
      </c>
      <c r="AV175">
        <v>34</v>
      </c>
      <c r="AW175">
        <v>14</v>
      </c>
      <c r="AX175" t="s">
        <v>74</v>
      </c>
      <c r="AY175" t="s">
        <v>74</v>
      </c>
      <c r="AZ175" t="s">
        <v>74</v>
      </c>
      <c r="BA175" t="s">
        <v>74</v>
      </c>
      <c r="BB175" t="s">
        <v>74</v>
      </c>
      <c r="BC175" t="s">
        <v>74</v>
      </c>
      <c r="BD175" t="s">
        <v>3038</v>
      </c>
      <c r="BE175" t="s">
        <v>3039</v>
      </c>
      <c r="BF175" t="str">
        <f>HYPERLINK("http://dx.doi.org/10.1029/2007GL030032","http://dx.doi.org/10.1029/2007GL030032")</f>
        <v>http://dx.doi.org/10.1029/2007GL030032</v>
      </c>
      <c r="BG175" t="s">
        <v>74</v>
      </c>
      <c r="BH175" t="s">
        <v>74</v>
      </c>
      <c r="BI175">
        <v>5</v>
      </c>
      <c r="BJ175" t="s">
        <v>151</v>
      </c>
      <c r="BK175" t="s">
        <v>98</v>
      </c>
      <c r="BL175" t="s">
        <v>152</v>
      </c>
      <c r="BM175" t="s">
        <v>3026</v>
      </c>
      <c r="BN175" t="s">
        <v>74</v>
      </c>
      <c r="BO175" t="s">
        <v>74</v>
      </c>
      <c r="BP175" t="s">
        <v>74</v>
      </c>
      <c r="BQ175" t="s">
        <v>74</v>
      </c>
      <c r="BR175" t="s">
        <v>101</v>
      </c>
      <c r="BS175" t="s">
        <v>3040</v>
      </c>
      <c r="BT175" t="str">
        <f>HYPERLINK("https%3A%2F%2Fwww.webofscience.com%2Fwos%2Fwoscc%2Ffull-record%2FWOS:000248285000004","View Full Record in Web of Science")</f>
        <v>View Full Record in Web of Science</v>
      </c>
    </row>
    <row r="176" spans="1:72" x14ac:dyDescent="0.15">
      <c r="A176" t="s">
        <v>72</v>
      </c>
      <c r="B176" t="s">
        <v>3041</v>
      </c>
      <c r="C176" t="s">
        <v>74</v>
      </c>
      <c r="D176" t="s">
        <v>74</v>
      </c>
      <c r="E176" t="s">
        <v>74</v>
      </c>
      <c r="F176" t="s">
        <v>3042</v>
      </c>
      <c r="G176" t="s">
        <v>74</v>
      </c>
      <c r="H176" t="s">
        <v>74</v>
      </c>
      <c r="I176" t="s">
        <v>3043</v>
      </c>
      <c r="J176" t="s">
        <v>130</v>
      </c>
      <c r="K176" t="s">
        <v>74</v>
      </c>
      <c r="L176" t="s">
        <v>74</v>
      </c>
      <c r="M176" t="s">
        <v>78</v>
      </c>
      <c r="N176" t="s">
        <v>79</v>
      </c>
      <c r="O176" t="s">
        <v>74</v>
      </c>
      <c r="P176" t="s">
        <v>74</v>
      </c>
      <c r="Q176" t="s">
        <v>74</v>
      </c>
      <c r="R176" t="s">
        <v>74</v>
      </c>
      <c r="S176" t="s">
        <v>74</v>
      </c>
      <c r="T176" t="s">
        <v>74</v>
      </c>
      <c r="U176" t="s">
        <v>3044</v>
      </c>
      <c r="V176" t="s">
        <v>3045</v>
      </c>
      <c r="W176" t="s">
        <v>3046</v>
      </c>
      <c r="X176" t="s">
        <v>3047</v>
      </c>
      <c r="Y176" t="s">
        <v>3048</v>
      </c>
      <c r="Z176" t="s">
        <v>3049</v>
      </c>
      <c r="AA176" t="s">
        <v>74</v>
      </c>
      <c r="AB176" t="s">
        <v>74</v>
      </c>
      <c r="AC176" t="s">
        <v>3050</v>
      </c>
      <c r="AD176" t="s">
        <v>361</v>
      </c>
      <c r="AE176" t="s">
        <v>74</v>
      </c>
      <c r="AF176" t="s">
        <v>74</v>
      </c>
      <c r="AG176">
        <v>23</v>
      </c>
      <c r="AH176">
        <v>13</v>
      </c>
      <c r="AI176">
        <v>13</v>
      </c>
      <c r="AJ176">
        <v>0</v>
      </c>
      <c r="AK176">
        <v>4</v>
      </c>
      <c r="AL176" t="s">
        <v>141</v>
      </c>
      <c r="AM176" t="s">
        <v>142</v>
      </c>
      <c r="AN176" t="s">
        <v>143</v>
      </c>
      <c r="AO176" t="s">
        <v>144</v>
      </c>
      <c r="AP176" t="s">
        <v>145</v>
      </c>
      <c r="AQ176" t="s">
        <v>74</v>
      </c>
      <c r="AR176" t="s">
        <v>146</v>
      </c>
      <c r="AS176" t="s">
        <v>147</v>
      </c>
      <c r="AT176" t="s">
        <v>3023</v>
      </c>
      <c r="AU176">
        <v>2007</v>
      </c>
      <c r="AV176">
        <v>34</v>
      </c>
      <c r="AW176">
        <v>14</v>
      </c>
      <c r="AX176" t="s">
        <v>74</v>
      </c>
      <c r="AY176" t="s">
        <v>74</v>
      </c>
      <c r="AZ176" t="s">
        <v>74</v>
      </c>
      <c r="BA176" t="s">
        <v>74</v>
      </c>
      <c r="BB176" t="s">
        <v>74</v>
      </c>
      <c r="BC176" t="s">
        <v>74</v>
      </c>
      <c r="BD176" t="s">
        <v>3051</v>
      </c>
      <c r="BE176" t="s">
        <v>3052</v>
      </c>
      <c r="BF176" t="str">
        <f>HYPERLINK("http://dx.doi.org/10.1029/2007GL030253","http://dx.doi.org/10.1029/2007GL030253")</f>
        <v>http://dx.doi.org/10.1029/2007GL030253</v>
      </c>
      <c r="BG176" t="s">
        <v>74</v>
      </c>
      <c r="BH176" t="s">
        <v>74</v>
      </c>
      <c r="BI176">
        <v>5</v>
      </c>
      <c r="BJ176" t="s">
        <v>151</v>
      </c>
      <c r="BK176" t="s">
        <v>98</v>
      </c>
      <c r="BL176" t="s">
        <v>152</v>
      </c>
      <c r="BM176" t="s">
        <v>3026</v>
      </c>
      <c r="BN176" t="s">
        <v>74</v>
      </c>
      <c r="BO176" t="s">
        <v>833</v>
      </c>
      <c r="BP176" t="s">
        <v>74</v>
      </c>
      <c r="BQ176" t="s">
        <v>74</v>
      </c>
      <c r="BR176" t="s">
        <v>101</v>
      </c>
      <c r="BS176" t="s">
        <v>3053</v>
      </c>
      <c r="BT176" t="str">
        <f>HYPERLINK("https%3A%2F%2Fwww.webofscience.com%2Fwos%2Fwoscc%2Ffull-record%2FWOS:000248285000008","View Full Record in Web of Science")</f>
        <v>View Full Record in Web of Science</v>
      </c>
    </row>
    <row r="177" spans="1:72" x14ac:dyDescent="0.15">
      <c r="A177" t="s">
        <v>72</v>
      </c>
      <c r="B177" t="s">
        <v>3054</v>
      </c>
      <c r="C177" t="s">
        <v>74</v>
      </c>
      <c r="D177" t="s">
        <v>74</v>
      </c>
      <c r="E177" t="s">
        <v>74</v>
      </c>
      <c r="F177" t="s">
        <v>3055</v>
      </c>
      <c r="G177" t="s">
        <v>74</v>
      </c>
      <c r="H177" t="s">
        <v>74</v>
      </c>
      <c r="I177" t="s">
        <v>3056</v>
      </c>
      <c r="J177" t="s">
        <v>203</v>
      </c>
      <c r="K177" t="s">
        <v>74</v>
      </c>
      <c r="L177" t="s">
        <v>74</v>
      </c>
      <c r="M177" t="s">
        <v>78</v>
      </c>
      <c r="N177" t="s">
        <v>79</v>
      </c>
      <c r="O177" t="s">
        <v>74</v>
      </c>
      <c r="P177" t="s">
        <v>74</v>
      </c>
      <c r="Q177" t="s">
        <v>74</v>
      </c>
      <c r="R177" t="s">
        <v>74</v>
      </c>
      <c r="S177" t="s">
        <v>74</v>
      </c>
      <c r="T177" t="s">
        <v>74</v>
      </c>
      <c r="U177" t="s">
        <v>3057</v>
      </c>
      <c r="V177" t="s">
        <v>3058</v>
      </c>
      <c r="W177" t="s">
        <v>3059</v>
      </c>
      <c r="X177" t="s">
        <v>207</v>
      </c>
      <c r="Y177" t="s">
        <v>3060</v>
      </c>
      <c r="Z177" t="s">
        <v>3061</v>
      </c>
      <c r="AA177" t="s">
        <v>3062</v>
      </c>
      <c r="AB177" t="s">
        <v>3063</v>
      </c>
      <c r="AC177" t="s">
        <v>3064</v>
      </c>
      <c r="AD177" t="s">
        <v>140</v>
      </c>
      <c r="AE177" t="s">
        <v>74</v>
      </c>
      <c r="AF177" t="s">
        <v>74</v>
      </c>
      <c r="AG177">
        <v>41</v>
      </c>
      <c r="AH177">
        <v>10</v>
      </c>
      <c r="AI177">
        <v>11</v>
      </c>
      <c r="AJ177">
        <v>0</v>
      </c>
      <c r="AK177">
        <v>6</v>
      </c>
      <c r="AL177" t="s">
        <v>141</v>
      </c>
      <c r="AM177" t="s">
        <v>142</v>
      </c>
      <c r="AN177" t="s">
        <v>143</v>
      </c>
      <c r="AO177" t="s">
        <v>213</v>
      </c>
      <c r="AP177" t="s">
        <v>214</v>
      </c>
      <c r="AQ177" t="s">
        <v>74</v>
      </c>
      <c r="AR177" t="s">
        <v>215</v>
      </c>
      <c r="AS177" t="s">
        <v>216</v>
      </c>
      <c r="AT177" t="s">
        <v>3065</v>
      </c>
      <c r="AU177">
        <v>2007</v>
      </c>
      <c r="AV177">
        <v>112</v>
      </c>
      <c r="AW177" t="s">
        <v>2834</v>
      </c>
      <c r="AX177" t="s">
        <v>74</v>
      </c>
      <c r="AY177" t="s">
        <v>74</v>
      </c>
      <c r="AZ177" t="s">
        <v>74</v>
      </c>
      <c r="BA177" t="s">
        <v>74</v>
      </c>
      <c r="BB177" t="s">
        <v>74</v>
      </c>
      <c r="BC177" t="s">
        <v>74</v>
      </c>
      <c r="BD177" t="s">
        <v>3066</v>
      </c>
      <c r="BE177" t="s">
        <v>3067</v>
      </c>
      <c r="BF177" t="str">
        <f>HYPERLINK("http://dx.doi.org/10.1029/2006JC003855","http://dx.doi.org/10.1029/2006JC003855")</f>
        <v>http://dx.doi.org/10.1029/2006JC003855</v>
      </c>
      <c r="BG177" t="s">
        <v>74</v>
      </c>
      <c r="BH177" t="s">
        <v>74</v>
      </c>
      <c r="BI177">
        <v>16</v>
      </c>
      <c r="BJ177" t="s">
        <v>221</v>
      </c>
      <c r="BK177" t="s">
        <v>98</v>
      </c>
      <c r="BL177" t="s">
        <v>221</v>
      </c>
      <c r="BM177" t="s">
        <v>3068</v>
      </c>
      <c r="BN177" t="s">
        <v>74</v>
      </c>
      <c r="BO177" t="s">
        <v>177</v>
      </c>
      <c r="BP177" t="s">
        <v>74</v>
      </c>
      <c r="BQ177" t="s">
        <v>74</v>
      </c>
      <c r="BR177" t="s">
        <v>101</v>
      </c>
      <c r="BS177" t="s">
        <v>3069</v>
      </c>
      <c r="BT177" t="str">
        <f>HYPERLINK("https%3A%2F%2Fwww.webofscience.com%2Fwos%2Fwoscc%2Ffull-record%2FWOS:000248286900002","View Full Record in Web of Science")</f>
        <v>View Full Record in Web of Science</v>
      </c>
    </row>
    <row r="178" spans="1:72" x14ac:dyDescent="0.15">
      <c r="A178" t="s">
        <v>72</v>
      </c>
      <c r="B178" t="s">
        <v>3070</v>
      </c>
      <c r="C178" t="s">
        <v>74</v>
      </c>
      <c r="D178" t="s">
        <v>74</v>
      </c>
      <c r="E178" t="s">
        <v>74</v>
      </c>
      <c r="F178" t="s">
        <v>3071</v>
      </c>
      <c r="G178" t="s">
        <v>74</v>
      </c>
      <c r="H178" t="s">
        <v>74</v>
      </c>
      <c r="I178" t="s">
        <v>3072</v>
      </c>
      <c r="J178" t="s">
        <v>694</v>
      </c>
      <c r="K178" t="s">
        <v>74</v>
      </c>
      <c r="L178" t="s">
        <v>74</v>
      </c>
      <c r="M178" t="s">
        <v>78</v>
      </c>
      <c r="N178" t="s">
        <v>79</v>
      </c>
      <c r="O178" t="s">
        <v>74</v>
      </c>
      <c r="P178" t="s">
        <v>74</v>
      </c>
      <c r="Q178" t="s">
        <v>74</v>
      </c>
      <c r="R178" t="s">
        <v>74</v>
      </c>
      <c r="S178" t="s">
        <v>74</v>
      </c>
      <c r="T178" t="s">
        <v>3073</v>
      </c>
      <c r="U178" t="s">
        <v>3074</v>
      </c>
      <c r="V178" t="s">
        <v>3075</v>
      </c>
      <c r="W178" t="s">
        <v>3076</v>
      </c>
      <c r="X178" t="s">
        <v>3077</v>
      </c>
      <c r="Y178" t="s">
        <v>3078</v>
      </c>
      <c r="Z178" t="s">
        <v>3079</v>
      </c>
      <c r="AA178" t="s">
        <v>3080</v>
      </c>
      <c r="AB178" t="s">
        <v>3081</v>
      </c>
      <c r="AC178" t="s">
        <v>74</v>
      </c>
      <c r="AD178" t="s">
        <v>74</v>
      </c>
      <c r="AE178" t="s">
        <v>74</v>
      </c>
      <c r="AF178" t="s">
        <v>74</v>
      </c>
      <c r="AG178">
        <v>49</v>
      </c>
      <c r="AH178">
        <v>24</v>
      </c>
      <c r="AI178">
        <v>26</v>
      </c>
      <c r="AJ178">
        <v>3</v>
      </c>
      <c r="AK178">
        <v>15</v>
      </c>
      <c r="AL178" t="s">
        <v>272</v>
      </c>
      <c r="AM178" t="s">
        <v>273</v>
      </c>
      <c r="AN178" t="s">
        <v>274</v>
      </c>
      <c r="AO178" t="s">
        <v>704</v>
      </c>
      <c r="AP178" t="s">
        <v>705</v>
      </c>
      <c r="AQ178" t="s">
        <v>74</v>
      </c>
      <c r="AR178" t="s">
        <v>706</v>
      </c>
      <c r="AS178" t="s">
        <v>707</v>
      </c>
      <c r="AT178" t="s">
        <v>3082</v>
      </c>
      <c r="AU178">
        <v>2007</v>
      </c>
      <c r="AV178">
        <v>259</v>
      </c>
      <c r="AW178" t="s">
        <v>280</v>
      </c>
      <c r="AX178" t="s">
        <v>74</v>
      </c>
      <c r="AY178" t="s">
        <v>74</v>
      </c>
      <c r="AZ178" t="s">
        <v>74</v>
      </c>
      <c r="BA178" t="s">
        <v>74</v>
      </c>
      <c r="BB178">
        <v>107</v>
      </c>
      <c r="BC178">
        <v>118</v>
      </c>
      <c r="BD178" t="s">
        <v>74</v>
      </c>
      <c r="BE178" t="s">
        <v>3083</v>
      </c>
      <c r="BF178" t="str">
        <f>HYPERLINK("http://dx.doi.org/10.1016/j.epsl.2007.04.032","http://dx.doi.org/10.1016/j.epsl.2007.04.032")</f>
        <v>http://dx.doi.org/10.1016/j.epsl.2007.04.032</v>
      </c>
      <c r="BG178" t="s">
        <v>74</v>
      </c>
      <c r="BH178" t="s">
        <v>74</v>
      </c>
      <c r="BI178">
        <v>12</v>
      </c>
      <c r="BJ178" t="s">
        <v>688</v>
      </c>
      <c r="BK178" t="s">
        <v>98</v>
      </c>
      <c r="BL178" t="s">
        <v>688</v>
      </c>
      <c r="BM178" t="s">
        <v>3084</v>
      </c>
      <c r="BN178" t="s">
        <v>74</v>
      </c>
      <c r="BO178" t="s">
        <v>74</v>
      </c>
      <c r="BP178" t="s">
        <v>74</v>
      </c>
      <c r="BQ178" t="s">
        <v>74</v>
      </c>
      <c r="BR178" t="s">
        <v>101</v>
      </c>
      <c r="BS178" t="s">
        <v>3085</v>
      </c>
      <c r="BT178" t="str">
        <f>HYPERLINK("https%3A%2F%2Fwww.webofscience.com%2Fwos%2Fwoscc%2Ffull-record%2FWOS:000248637700010","View Full Record in Web of Science")</f>
        <v>View Full Record in Web of Science</v>
      </c>
    </row>
    <row r="179" spans="1:72" x14ac:dyDescent="0.15">
      <c r="A179" t="s">
        <v>72</v>
      </c>
      <c r="B179" t="s">
        <v>3086</v>
      </c>
      <c r="C179" t="s">
        <v>74</v>
      </c>
      <c r="D179" t="s">
        <v>74</v>
      </c>
      <c r="E179" t="s">
        <v>74</v>
      </c>
      <c r="F179" t="s">
        <v>3087</v>
      </c>
      <c r="G179" t="s">
        <v>74</v>
      </c>
      <c r="H179" t="s">
        <v>74</v>
      </c>
      <c r="I179" t="s">
        <v>3088</v>
      </c>
      <c r="J179" t="s">
        <v>1766</v>
      </c>
      <c r="K179" t="s">
        <v>74</v>
      </c>
      <c r="L179" t="s">
        <v>74</v>
      </c>
      <c r="M179" t="s">
        <v>78</v>
      </c>
      <c r="N179" t="s">
        <v>79</v>
      </c>
      <c r="O179" t="s">
        <v>74</v>
      </c>
      <c r="P179" t="s">
        <v>74</v>
      </c>
      <c r="Q179" t="s">
        <v>74</v>
      </c>
      <c r="R179" t="s">
        <v>74</v>
      </c>
      <c r="S179" t="s">
        <v>74</v>
      </c>
      <c r="T179" t="s">
        <v>74</v>
      </c>
      <c r="U179" t="s">
        <v>3089</v>
      </c>
      <c r="V179" t="s">
        <v>3090</v>
      </c>
      <c r="W179" t="s">
        <v>3091</v>
      </c>
      <c r="X179" t="s">
        <v>3092</v>
      </c>
      <c r="Y179" t="s">
        <v>3093</v>
      </c>
      <c r="Z179" t="s">
        <v>3094</v>
      </c>
      <c r="AA179" t="s">
        <v>3095</v>
      </c>
      <c r="AB179" t="s">
        <v>3096</v>
      </c>
      <c r="AC179" t="s">
        <v>3097</v>
      </c>
      <c r="AD179" t="s">
        <v>361</v>
      </c>
      <c r="AE179" t="s">
        <v>74</v>
      </c>
      <c r="AF179" t="s">
        <v>74</v>
      </c>
      <c r="AG179">
        <v>41</v>
      </c>
      <c r="AH179">
        <v>84</v>
      </c>
      <c r="AI179">
        <v>92</v>
      </c>
      <c r="AJ179">
        <v>0</v>
      </c>
      <c r="AK179">
        <v>24</v>
      </c>
      <c r="AL179" t="s">
        <v>1503</v>
      </c>
      <c r="AM179" t="s">
        <v>1504</v>
      </c>
      <c r="AN179" t="s">
        <v>1505</v>
      </c>
      <c r="AO179" t="s">
        <v>1775</v>
      </c>
      <c r="AP179" t="s">
        <v>1790</v>
      </c>
      <c r="AQ179" t="s">
        <v>74</v>
      </c>
      <c r="AR179" t="s">
        <v>1776</v>
      </c>
      <c r="AS179" t="s">
        <v>1777</v>
      </c>
      <c r="AT179" t="s">
        <v>3082</v>
      </c>
      <c r="AU179">
        <v>2007</v>
      </c>
      <c r="AV179">
        <v>71</v>
      </c>
      <c r="AW179">
        <v>14</v>
      </c>
      <c r="AX179" t="s">
        <v>74</v>
      </c>
      <c r="AY179" t="s">
        <v>74</v>
      </c>
      <c r="AZ179" t="s">
        <v>74</v>
      </c>
      <c r="BA179" t="s">
        <v>74</v>
      </c>
      <c r="BB179">
        <v>3592</v>
      </c>
      <c r="BC179">
        <v>3600</v>
      </c>
      <c r="BD179" t="s">
        <v>74</v>
      </c>
      <c r="BE179" t="s">
        <v>3098</v>
      </c>
      <c r="BF179" t="str">
        <f>HYPERLINK("http://dx.doi.org/10.1016/j.gca.2007.05.011","http://dx.doi.org/10.1016/j.gca.2007.05.011")</f>
        <v>http://dx.doi.org/10.1016/j.gca.2007.05.011</v>
      </c>
      <c r="BG179" t="s">
        <v>74</v>
      </c>
      <c r="BH179" t="s">
        <v>74</v>
      </c>
      <c r="BI179">
        <v>9</v>
      </c>
      <c r="BJ179" t="s">
        <v>688</v>
      </c>
      <c r="BK179" t="s">
        <v>98</v>
      </c>
      <c r="BL179" t="s">
        <v>688</v>
      </c>
      <c r="BM179" t="s">
        <v>3099</v>
      </c>
      <c r="BN179" t="s">
        <v>74</v>
      </c>
      <c r="BO179" t="s">
        <v>74</v>
      </c>
      <c r="BP179" t="s">
        <v>74</v>
      </c>
      <c r="BQ179" t="s">
        <v>74</v>
      </c>
      <c r="BR179" t="s">
        <v>101</v>
      </c>
      <c r="BS179" t="s">
        <v>3100</v>
      </c>
      <c r="BT179" t="str">
        <f>HYPERLINK("https%3A%2F%2Fwww.webofscience.com%2Fwos%2Fwoscc%2Ffull-record%2FWOS:000248188900015","View Full Record in Web of Science")</f>
        <v>View Full Record in Web of Science</v>
      </c>
    </row>
    <row r="180" spans="1:72" x14ac:dyDescent="0.15">
      <c r="A180" t="s">
        <v>72</v>
      </c>
      <c r="B180" t="s">
        <v>3101</v>
      </c>
      <c r="C180" t="s">
        <v>74</v>
      </c>
      <c r="D180" t="s">
        <v>74</v>
      </c>
      <c r="E180" t="s">
        <v>74</v>
      </c>
      <c r="F180" t="s">
        <v>3102</v>
      </c>
      <c r="G180" t="s">
        <v>74</v>
      </c>
      <c r="H180" t="s">
        <v>74</v>
      </c>
      <c r="I180" t="s">
        <v>3103</v>
      </c>
      <c r="J180" t="s">
        <v>558</v>
      </c>
      <c r="K180" t="s">
        <v>74</v>
      </c>
      <c r="L180" t="s">
        <v>74</v>
      </c>
      <c r="M180" t="s">
        <v>78</v>
      </c>
      <c r="N180" t="s">
        <v>79</v>
      </c>
      <c r="O180" t="s">
        <v>74</v>
      </c>
      <c r="P180" t="s">
        <v>74</v>
      </c>
      <c r="Q180" t="s">
        <v>74</v>
      </c>
      <c r="R180" t="s">
        <v>74</v>
      </c>
      <c r="S180" t="s">
        <v>74</v>
      </c>
      <c r="T180" t="s">
        <v>74</v>
      </c>
      <c r="U180" t="s">
        <v>3104</v>
      </c>
      <c r="V180" t="s">
        <v>3105</v>
      </c>
      <c r="W180" t="s">
        <v>3106</v>
      </c>
      <c r="X180" t="s">
        <v>3107</v>
      </c>
      <c r="Y180" t="s">
        <v>3108</v>
      </c>
      <c r="Z180" t="s">
        <v>3109</v>
      </c>
      <c r="AA180" t="s">
        <v>407</v>
      </c>
      <c r="AB180" t="s">
        <v>3110</v>
      </c>
      <c r="AC180" t="s">
        <v>74</v>
      </c>
      <c r="AD180" t="s">
        <v>74</v>
      </c>
      <c r="AE180" t="s">
        <v>74</v>
      </c>
      <c r="AF180" t="s">
        <v>74</v>
      </c>
      <c r="AG180">
        <v>64</v>
      </c>
      <c r="AH180">
        <v>39</v>
      </c>
      <c r="AI180">
        <v>47</v>
      </c>
      <c r="AJ180">
        <v>0</v>
      </c>
      <c r="AK180">
        <v>19</v>
      </c>
      <c r="AL180" t="s">
        <v>567</v>
      </c>
      <c r="AM180" t="s">
        <v>568</v>
      </c>
      <c r="AN180" t="s">
        <v>569</v>
      </c>
      <c r="AO180" t="s">
        <v>570</v>
      </c>
      <c r="AP180" t="s">
        <v>571</v>
      </c>
      <c r="AQ180" t="s">
        <v>74</v>
      </c>
      <c r="AR180" t="s">
        <v>572</v>
      </c>
      <c r="AS180" t="s">
        <v>573</v>
      </c>
      <c r="AT180" t="s">
        <v>3082</v>
      </c>
      <c r="AU180">
        <v>2007</v>
      </c>
      <c r="AV180">
        <v>20</v>
      </c>
      <c r="AW180">
        <v>14</v>
      </c>
      <c r="AX180" t="s">
        <v>74</v>
      </c>
      <c r="AY180" t="s">
        <v>74</v>
      </c>
      <c r="AZ180" t="s">
        <v>74</v>
      </c>
      <c r="BA180" t="s">
        <v>74</v>
      </c>
      <c r="BB180">
        <v>3395</v>
      </c>
      <c r="BC180">
        <v>3410</v>
      </c>
      <c r="BD180" t="s">
        <v>74</v>
      </c>
      <c r="BE180" t="s">
        <v>3111</v>
      </c>
      <c r="BF180" t="str">
        <f>HYPERLINK("http://dx.doi.org/10.1175/JCLI4195.1","http://dx.doi.org/10.1175/JCLI4195.1")</f>
        <v>http://dx.doi.org/10.1175/JCLI4195.1</v>
      </c>
      <c r="BG180" t="s">
        <v>74</v>
      </c>
      <c r="BH180" t="s">
        <v>74</v>
      </c>
      <c r="BI180">
        <v>16</v>
      </c>
      <c r="BJ180" t="s">
        <v>435</v>
      </c>
      <c r="BK180" t="s">
        <v>98</v>
      </c>
      <c r="BL180" t="s">
        <v>435</v>
      </c>
      <c r="BM180" t="s">
        <v>3112</v>
      </c>
      <c r="BN180" t="s">
        <v>74</v>
      </c>
      <c r="BO180" t="s">
        <v>3113</v>
      </c>
      <c r="BP180" t="s">
        <v>74</v>
      </c>
      <c r="BQ180" t="s">
        <v>74</v>
      </c>
      <c r="BR180" t="s">
        <v>101</v>
      </c>
      <c r="BS180" t="s">
        <v>3114</v>
      </c>
      <c r="BT180" t="str">
        <f>HYPERLINK("https%3A%2F%2Fwww.webofscience.com%2Fwos%2Fwoscc%2Ffull-record%2FWOS:000248484700004","View Full Record in Web of Science")</f>
        <v>View Full Record in Web of Science</v>
      </c>
    </row>
    <row r="181" spans="1:72" x14ac:dyDescent="0.15">
      <c r="A181" t="s">
        <v>72</v>
      </c>
      <c r="B181" t="s">
        <v>3115</v>
      </c>
      <c r="C181" t="s">
        <v>74</v>
      </c>
      <c r="D181" t="s">
        <v>74</v>
      </c>
      <c r="E181" t="s">
        <v>74</v>
      </c>
      <c r="F181" t="s">
        <v>3116</v>
      </c>
      <c r="G181" t="s">
        <v>74</v>
      </c>
      <c r="H181" t="s">
        <v>74</v>
      </c>
      <c r="I181" t="s">
        <v>3117</v>
      </c>
      <c r="J181" t="s">
        <v>3118</v>
      </c>
      <c r="K181" t="s">
        <v>74</v>
      </c>
      <c r="L181" t="s">
        <v>74</v>
      </c>
      <c r="M181" t="s">
        <v>78</v>
      </c>
      <c r="N181" t="s">
        <v>79</v>
      </c>
      <c r="O181" t="s">
        <v>74</v>
      </c>
      <c r="P181" t="s">
        <v>74</v>
      </c>
      <c r="Q181" t="s">
        <v>74</v>
      </c>
      <c r="R181" t="s">
        <v>74</v>
      </c>
      <c r="S181" t="s">
        <v>74</v>
      </c>
      <c r="T181" t="s">
        <v>74</v>
      </c>
      <c r="U181" t="s">
        <v>3119</v>
      </c>
      <c r="V181" t="s">
        <v>3120</v>
      </c>
      <c r="W181" t="s">
        <v>3121</v>
      </c>
      <c r="X181" t="s">
        <v>3122</v>
      </c>
      <c r="Y181" t="s">
        <v>3123</v>
      </c>
      <c r="Z181" t="s">
        <v>3124</v>
      </c>
      <c r="AA181" t="s">
        <v>74</v>
      </c>
      <c r="AB181" t="s">
        <v>74</v>
      </c>
      <c r="AC181" t="s">
        <v>74</v>
      </c>
      <c r="AD181" t="s">
        <v>74</v>
      </c>
      <c r="AE181" t="s">
        <v>74</v>
      </c>
      <c r="AF181" t="s">
        <v>74</v>
      </c>
      <c r="AG181">
        <v>27</v>
      </c>
      <c r="AH181">
        <v>9</v>
      </c>
      <c r="AI181">
        <v>11</v>
      </c>
      <c r="AJ181">
        <v>0</v>
      </c>
      <c r="AK181">
        <v>4</v>
      </c>
      <c r="AL181" t="s">
        <v>3125</v>
      </c>
      <c r="AM181" t="s">
        <v>1203</v>
      </c>
      <c r="AN181" t="s">
        <v>3126</v>
      </c>
      <c r="AO181" t="s">
        <v>3127</v>
      </c>
      <c r="AP181" t="s">
        <v>74</v>
      </c>
      <c r="AQ181" t="s">
        <v>74</v>
      </c>
      <c r="AR181" t="s">
        <v>3128</v>
      </c>
      <c r="AS181" t="s">
        <v>3129</v>
      </c>
      <c r="AT181" t="s">
        <v>3082</v>
      </c>
      <c r="AU181">
        <v>2007</v>
      </c>
      <c r="AV181" t="s">
        <v>3130</v>
      </c>
      <c r="AW181">
        <v>4</v>
      </c>
      <c r="AX181" t="s">
        <v>74</v>
      </c>
      <c r="AY181" t="s">
        <v>74</v>
      </c>
      <c r="AZ181" t="s">
        <v>74</v>
      </c>
      <c r="BA181" t="s">
        <v>74</v>
      </c>
      <c r="BB181">
        <v>507</v>
      </c>
      <c r="BC181">
        <v>513</v>
      </c>
      <c r="BD181" t="s">
        <v>74</v>
      </c>
      <c r="BE181" t="s">
        <v>3131</v>
      </c>
      <c r="BF181" t="str">
        <f>HYPERLINK("http://dx.doi.org/10.1002/jez.b.21177","http://dx.doi.org/10.1002/jez.b.21177")</f>
        <v>http://dx.doi.org/10.1002/jez.b.21177</v>
      </c>
      <c r="BG181" t="s">
        <v>74</v>
      </c>
      <c r="BH181" t="s">
        <v>74</v>
      </c>
      <c r="BI181">
        <v>7</v>
      </c>
      <c r="BJ181" t="s">
        <v>3132</v>
      </c>
      <c r="BK181" t="s">
        <v>98</v>
      </c>
      <c r="BL181" t="s">
        <v>3132</v>
      </c>
      <c r="BM181" t="s">
        <v>3133</v>
      </c>
      <c r="BN181">
        <v>17541967</v>
      </c>
      <c r="BO181" t="s">
        <v>154</v>
      </c>
      <c r="BP181" t="s">
        <v>74</v>
      </c>
      <c r="BQ181" t="s">
        <v>74</v>
      </c>
      <c r="BR181" t="s">
        <v>101</v>
      </c>
      <c r="BS181" t="s">
        <v>3134</v>
      </c>
      <c r="BT181" t="str">
        <f>HYPERLINK("https%3A%2F%2Fwww.webofscience.com%2Fwos%2Fwoscc%2Ffull-record%2FWOS:000248643000016","View Full Record in Web of Science")</f>
        <v>View Full Record in Web of Science</v>
      </c>
    </row>
    <row r="182" spans="1:72" x14ac:dyDescent="0.15">
      <c r="A182" t="s">
        <v>72</v>
      </c>
      <c r="B182" t="s">
        <v>3135</v>
      </c>
      <c r="C182" t="s">
        <v>74</v>
      </c>
      <c r="D182" t="s">
        <v>74</v>
      </c>
      <c r="E182" t="s">
        <v>74</v>
      </c>
      <c r="F182" t="s">
        <v>3136</v>
      </c>
      <c r="G182" t="s">
        <v>74</v>
      </c>
      <c r="H182" t="s">
        <v>74</v>
      </c>
      <c r="I182" t="s">
        <v>3137</v>
      </c>
      <c r="J182" t="s">
        <v>3138</v>
      </c>
      <c r="K182" t="s">
        <v>74</v>
      </c>
      <c r="L182" t="s">
        <v>74</v>
      </c>
      <c r="M182" t="s">
        <v>78</v>
      </c>
      <c r="N182" t="s">
        <v>514</v>
      </c>
      <c r="O182" t="s">
        <v>3139</v>
      </c>
      <c r="P182" t="s">
        <v>3140</v>
      </c>
      <c r="Q182" t="s">
        <v>3141</v>
      </c>
      <c r="R182" t="s">
        <v>74</v>
      </c>
      <c r="S182" t="s">
        <v>3142</v>
      </c>
      <c r="T182" t="s">
        <v>3143</v>
      </c>
      <c r="U182" t="s">
        <v>3144</v>
      </c>
      <c r="V182" t="s">
        <v>3145</v>
      </c>
      <c r="W182" t="s">
        <v>3146</v>
      </c>
      <c r="X182" t="s">
        <v>3147</v>
      </c>
      <c r="Y182" t="s">
        <v>3148</v>
      </c>
      <c r="Z182" t="s">
        <v>3149</v>
      </c>
      <c r="AA182" t="s">
        <v>3150</v>
      </c>
      <c r="AB182" t="s">
        <v>3151</v>
      </c>
      <c r="AC182" t="s">
        <v>3152</v>
      </c>
      <c r="AD182" t="s">
        <v>361</v>
      </c>
      <c r="AE182" t="s">
        <v>74</v>
      </c>
      <c r="AF182" t="s">
        <v>74</v>
      </c>
      <c r="AG182">
        <v>74</v>
      </c>
      <c r="AH182">
        <v>28</v>
      </c>
      <c r="AI182">
        <v>31</v>
      </c>
      <c r="AJ182">
        <v>4</v>
      </c>
      <c r="AK182">
        <v>41</v>
      </c>
      <c r="AL182" t="s">
        <v>386</v>
      </c>
      <c r="AM182" t="s">
        <v>363</v>
      </c>
      <c r="AN182" t="s">
        <v>387</v>
      </c>
      <c r="AO182" t="s">
        <v>3153</v>
      </c>
      <c r="AP182" t="s">
        <v>3154</v>
      </c>
      <c r="AQ182" t="s">
        <v>74</v>
      </c>
      <c r="AR182" t="s">
        <v>3155</v>
      </c>
      <c r="AS182" t="s">
        <v>3156</v>
      </c>
      <c r="AT182" t="s">
        <v>3082</v>
      </c>
      <c r="AU182">
        <v>2007</v>
      </c>
      <c r="AV182">
        <v>365</v>
      </c>
      <c r="AW182">
        <v>1856</v>
      </c>
      <c r="AX182" t="s">
        <v>74</v>
      </c>
      <c r="AY182" t="s">
        <v>74</v>
      </c>
      <c r="AZ182" t="s">
        <v>74</v>
      </c>
      <c r="BA182" t="s">
        <v>74</v>
      </c>
      <c r="BB182">
        <v>1775</v>
      </c>
      <c r="BC182">
        <v>1792</v>
      </c>
      <c r="BD182" t="s">
        <v>74</v>
      </c>
      <c r="BE182" t="s">
        <v>3157</v>
      </c>
      <c r="BF182" t="str">
        <f>HYPERLINK("http://dx.doi.org/10.1098/rsta.2007.2044","http://dx.doi.org/10.1098/rsta.2007.2044")</f>
        <v>http://dx.doi.org/10.1098/rsta.2007.2044</v>
      </c>
      <c r="BG182" t="s">
        <v>74</v>
      </c>
      <c r="BH182" t="s">
        <v>74</v>
      </c>
      <c r="BI182">
        <v>18</v>
      </c>
      <c r="BJ182" t="s">
        <v>241</v>
      </c>
      <c r="BK182" t="s">
        <v>535</v>
      </c>
      <c r="BL182" t="s">
        <v>242</v>
      </c>
      <c r="BM182" t="s">
        <v>3158</v>
      </c>
      <c r="BN182">
        <v>17513260</v>
      </c>
      <c r="BO182" t="s">
        <v>74</v>
      </c>
      <c r="BP182" t="s">
        <v>74</v>
      </c>
      <c r="BQ182" t="s">
        <v>74</v>
      </c>
      <c r="BR182" t="s">
        <v>101</v>
      </c>
      <c r="BS182" t="s">
        <v>3159</v>
      </c>
      <c r="BT182" t="str">
        <f>HYPERLINK("https%3A%2F%2Fwww.webofscience.com%2Fwos%2Fwoscc%2Ffull-record%2FWOS:000247780800010","View Full Record in Web of Science")</f>
        <v>View Full Record in Web of Science</v>
      </c>
    </row>
    <row r="183" spans="1:72" x14ac:dyDescent="0.15">
      <c r="A183" t="s">
        <v>72</v>
      </c>
      <c r="B183" t="s">
        <v>3160</v>
      </c>
      <c r="C183" t="s">
        <v>74</v>
      </c>
      <c r="D183" t="s">
        <v>74</v>
      </c>
      <c r="E183" t="s">
        <v>74</v>
      </c>
      <c r="F183" t="s">
        <v>3161</v>
      </c>
      <c r="G183" t="s">
        <v>74</v>
      </c>
      <c r="H183" t="s">
        <v>74</v>
      </c>
      <c r="I183" t="s">
        <v>3162</v>
      </c>
      <c r="J183" t="s">
        <v>130</v>
      </c>
      <c r="K183" t="s">
        <v>74</v>
      </c>
      <c r="L183" t="s">
        <v>74</v>
      </c>
      <c r="M183" t="s">
        <v>78</v>
      </c>
      <c r="N183" t="s">
        <v>79</v>
      </c>
      <c r="O183" t="s">
        <v>74</v>
      </c>
      <c r="P183" t="s">
        <v>74</v>
      </c>
      <c r="Q183" t="s">
        <v>74</v>
      </c>
      <c r="R183" t="s">
        <v>74</v>
      </c>
      <c r="S183" t="s">
        <v>74</v>
      </c>
      <c r="T183" t="s">
        <v>74</v>
      </c>
      <c r="U183" t="s">
        <v>3163</v>
      </c>
      <c r="V183" t="s">
        <v>3164</v>
      </c>
      <c r="W183" t="s">
        <v>3165</v>
      </c>
      <c r="X183" t="s">
        <v>3166</v>
      </c>
      <c r="Y183" t="s">
        <v>3167</v>
      </c>
      <c r="Z183" t="s">
        <v>3168</v>
      </c>
      <c r="AA183" t="s">
        <v>3169</v>
      </c>
      <c r="AB183" t="s">
        <v>3170</v>
      </c>
      <c r="AC183" t="s">
        <v>3171</v>
      </c>
      <c r="AD183" t="s">
        <v>3172</v>
      </c>
      <c r="AE183" t="s">
        <v>74</v>
      </c>
      <c r="AF183" t="s">
        <v>74</v>
      </c>
      <c r="AG183">
        <v>38</v>
      </c>
      <c r="AH183">
        <v>93</v>
      </c>
      <c r="AI183">
        <v>100</v>
      </c>
      <c r="AJ183">
        <v>0</v>
      </c>
      <c r="AK183">
        <v>30</v>
      </c>
      <c r="AL183" t="s">
        <v>141</v>
      </c>
      <c r="AM183" t="s">
        <v>142</v>
      </c>
      <c r="AN183" t="s">
        <v>143</v>
      </c>
      <c r="AO183" t="s">
        <v>144</v>
      </c>
      <c r="AP183" t="s">
        <v>74</v>
      </c>
      <c r="AQ183" t="s">
        <v>74</v>
      </c>
      <c r="AR183" t="s">
        <v>146</v>
      </c>
      <c r="AS183" t="s">
        <v>147</v>
      </c>
      <c r="AT183" t="s">
        <v>3173</v>
      </c>
      <c r="AU183">
        <v>2007</v>
      </c>
      <c r="AV183">
        <v>34</v>
      </c>
      <c r="AW183">
        <v>13</v>
      </c>
      <c r="AX183" t="s">
        <v>74</v>
      </c>
      <c r="AY183" t="s">
        <v>74</v>
      </c>
      <c r="AZ183" t="s">
        <v>74</v>
      </c>
      <c r="BA183" t="s">
        <v>74</v>
      </c>
      <c r="BB183" t="s">
        <v>74</v>
      </c>
      <c r="BC183" t="s">
        <v>74</v>
      </c>
      <c r="BD183" t="s">
        <v>3174</v>
      </c>
      <c r="BE183" t="s">
        <v>3175</v>
      </c>
      <c r="BF183" t="str">
        <f>HYPERLINK("http://dx.doi.org/10.1029/2007GL029937","http://dx.doi.org/10.1029/2007GL029937")</f>
        <v>http://dx.doi.org/10.1029/2007GL029937</v>
      </c>
      <c r="BG183" t="s">
        <v>74</v>
      </c>
      <c r="BH183" t="s">
        <v>74</v>
      </c>
      <c r="BI183">
        <v>6</v>
      </c>
      <c r="BJ183" t="s">
        <v>151</v>
      </c>
      <c r="BK183" t="s">
        <v>98</v>
      </c>
      <c r="BL183" t="s">
        <v>152</v>
      </c>
      <c r="BM183" t="s">
        <v>3176</v>
      </c>
      <c r="BN183" t="s">
        <v>74</v>
      </c>
      <c r="BO183" t="s">
        <v>304</v>
      </c>
      <c r="BP183" t="s">
        <v>74</v>
      </c>
      <c r="BQ183" t="s">
        <v>74</v>
      </c>
      <c r="BR183" t="s">
        <v>101</v>
      </c>
      <c r="BS183" t="s">
        <v>3177</v>
      </c>
      <c r="BT183" t="str">
        <f>HYPERLINK("https%3A%2F%2Fwww.webofscience.com%2Fwos%2Fwoscc%2Ffull-record%2FWOS:000248024800004","View Full Record in Web of Science")</f>
        <v>View Full Record in Web of Science</v>
      </c>
    </row>
    <row r="184" spans="1:72" x14ac:dyDescent="0.15">
      <c r="A184" t="s">
        <v>72</v>
      </c>
      <c r="B184" t="s">
        <v>3178</v>
      </c>
      <c r="C184" t="s">
        <v>74</v>
      </c>
      <c r="D184" t="s">
        <v>74</v>
      </c>
      <c r="E184" t="s">
        <v>74</v>
      </c>
      <c r="F184" t="s">
        <v>3179</v>
      </c>
      <c r="G184" t="s">
        <v>74</v>
      </c>
      <c r="H184" t="s">
        <v>74</v>
      </c>
      <c r="I184" t="s">
        <v>3180</v>
      </c>
      <c r="J184" t="s">
        <v>130</v>
      </c>
      <c r="K184" t="s">
        <v>74</v>
      </c>
      <c r="L184" t="s">
        <v>74</v>
      </c>
      <c r="M184" t="s">
        <v>78</v>
      </c>
      <c r="N184" t="s">
        <v>79</v>
      </c>
      <c r="O184" t="s">
        <v>74</v>
      </c>
      <c r="P184" t="s">
        <v>74</v>
      </c>
      <c r="Q184" t="s">
        <v>74</v>
      </c>
      <c r="R184" t="s">
        <v>74</v>
      </c>
      <c r="S184" t="s">
        <v>74</v>
      </c>
      <c r="T184" t="s">
        <v>74</v>
      </c>
      <c r="U184" t="s">
        <v>3181</v>
      </c>
      <c r="V184" t="s">
        <v>3182</v>
      </c>
      <c r="W184" t="s">
        <v>3183</v>
      </c>
      <c r="X184" t="s">
        <v>623</v>
      </c>
      <c r="Y184" t="s">
        <v>3184</v>
      </c>
      <c r="Z184" t="s">
        <v>3185</v>
      </c>
      <c r="AA184" t="s">
        <v>3186</v>
      </c>
      <c r="AB184" t="s">
        <v>3187</v>
      </c>
      <c r="AC184" t="s">
        <v>74</v>
      </c>
      <c r="AD184" t="s">
        <v>74</v>
      </c>
      <c r="AE184" t="s">
        <v>74</v>
      </c>
      <c r="AF184" t="s">
        <v>74</v>
      </c>
      <c r="AG184">
        <v>30</v>
      </c>
      <c r="AH184">
        <v>303</v>
      </c>
      <c r="AI184">
        <v>317</v>
      </c>
      <c r="AJ184">
        <v>1</v>
      </c>
      <c r="AK184">
        <v>23</v>
      </c>
      <c r="AL184" t="s">
        <v>141</v>
      </c>
      <c r="AM184" t="s">
        <v>142</v>
      </c>
      <c r="AN184" t="s">
        <v>143</v>
      </c>
      <c r="AO184" t="s">
        <v>144</v>
      </c>
      <c r="AP184" t="s">
        <v>74</v>
      </c>
      <c r="AQ184" t="s">
        <v>74</v>
      </c>
      <c r="AR184" t="s">
        <v>146</v>
      </c>
      <c r="AS184" t="s">
        <v>147</v>
      </c>
      <c r="AT184" t="s">
        <v>3173</v>
      </c>
      <c r="AU184">
        <v>2007</v>
      </c>
      <c r="AV184">
        <v>34</v>
      </c>
      <c r="AW184">
        <v>13</v>
      </c>
      <c r="AX184" t="s">
        <v>74</v>
      </c>
      <c r="AY184" t="s">
        <v>74</v>
      </c>
      <c r="AZ184" t="s">
        <v>74</v>
      </c>
      <c r="BA184" t="s">
        <v>74</v>
      </c>
      <c r="BB184" t="s">
        <v>74</v>
      </c>
      <c r="BC184" t="s">
        <v>74</v>
      </c>
      <c r="BD184" t="s">
        <v>3188</v>
      </c>
      <c r="BE184" t="s">
        <v>3189</v>
      </c>
      <c r="BF184" t="str">
        <f>HYPERLINK("http://dx.doi.org/10.1029/2007GL030392","http://dx.doi.org/10.1029/2007GL030392")</f>
        <v>http://dx.doi.org/10.1029/2007GL030392</v>
      </c>
      <c r="BG184" t="s">
        <v>74</v>
      </c>
      <c r="BH184" t="s">
        <v>74</v>
      </c>
      <c r="BI184">
        <v>5</v>
      </c>
      <c r="BJ184" t="s">
        <v>151</v>
      </c>
      <c r="BK184" t="s">
        <v>98</v>
      </c>
      <c r="BL184" t="s">
        <v>152</v>
      </c>
      <c r="BM184" t="s">
        <v>3176</v>
      </c>
      <c r="BN184" t="s">
        <v>74</v>
      </c>
      <c r="BO184" t="s">
        <v>74</v>
      </c>
      <c r="BP184" t="s">
        <v>74</v>
      </c>
      <c r="BQ184" t="s">
        <v>74</v>
      </c>
      <c r="BR184" t="s">
        <v>101</v>
      </c>
      <c r="BS184" t="s">
        <v>3190</v>
      </c>
      <c r="BT184" t="str">
        <f>HYPERLINK("https%3A%2F%2Fwww.webofscience.com%2Fwos%2Fwoscc%2Ffull-record%2FWOS:000248024800007","View Full Record in Web of Science")</f>
        <v>View Full Record in Web of Science</v>
      </c>
    </row>
    <row r="185" spans="1:72" x14ac:dyDescent="0.15">
      <c r="A185" t="s">
        <v>72</v>
      </c>
      <c r="B185" t="s">
        <v>3191</v>
      </c>
      <c r="C185" t="s">
        <v>74</v>
      </c>
      <c r="D185" t="s">
        <v>74</v>
      </c>
      <c r="E185" t="s">
        <v>74</v>
      </c>
      <c r="F185" t="s">
        <v>3192</v>
      </c>
      <c r="G185" t="s">
        <v>74</v>
      </c>
      <c r="H185" t="s">
        <v>74</v>
      </c>
      <c r="I185" t="s">
        <v>3193</v>
      </c>
      <c r="J185" t="s">
        <v>2957</v>
      </c>
      <c r="K185" t="s">
        <v>74</v>
      </c>
      <c r="L185" t="s">
        <v>74</v>
      </c>
      <c r="M185" t="s">
        <v>78</v>
      </c>
      <c r="N185" t="s">
        <v>79</v>
      </c>
      <c r="O185" t="s">
        <v>74</v>
      </c>
      <c r="P185" t="s">
        <v>74</v>
      </c>
      <c r="Q185" t="s">
        <v>74</v>
      </c>
      <c r="R185" t="s">
        <v>74</v>
      </c>
      <c r="S185" t="s">
        <v>74</v>
      </c>
      <c r="T185" t="s">
        <v>74</v>
      </c>
      <c r="U185" t="s">
        <v>3194</v>
      </c>
      <c r="V185" t="s">
        <v>3195</v>
      </c>
      <c r="W185" t="s">
        <v>3196</v>
      </c>
      <c r="X185" t="s">
        <v>3197</v>
      </c>
      <c r="Y185" t="s">
        <v>3198</v>
      </c>
      <c r="Z185" t="s">
        <v>74</v>
      </c>
      <c r="AA185" t="s">
        <v>3199</v>
      </c>
      <c r="AB185" t="s">
        <v>74</v>
      </c>
      <c r="AC185" t="s">
        <v>74</v>
      </c>
      <c r="AD185" t="s">
        <v>74</v>
      </c>
      <c r="AE185" t="s">
        <v>74</v>
      </c>
      <c r="AF185" t="s">
        <v>74</v>
      </c>
      <c r="AG185">
        <v>47</v>
      </c>
      <c r="AH185">
        <v>785</v>
      </c>
      <c r="AI185">
        <v>893</v>
      </c>
      <c r="AJ185">
        <v>2</v>
      </c>
      <c r="AK185">
        <v>101</v>
      </c>
      <c r="AL185" t="s">
        <v>141</v>
      </c>
      <c r="AM185" t="s">
        <v>142</v>
      </c>
      <c r="AN185" t="s">
        <v>143</v>
      </c>
      <c r="AO185" t="s">
        <v>2966</v>
      </c>
      <c r="AP185" t="s">
        <v>2967</v>
      </c>
      <c r="AQ185" t="s">
        <v>74</v>
      </c>
      <c r="AR185" t="s">
        <v>2968</v>
      </c>
      <c r="AS185" t="s">
        <v>2969</v>
      </c>
      <c r="AT185" t="s">
        <v>3173</v>
      </c>
      <c r="AU185">
        <v>2007</v>
      </c>
      <c r="AV185">
        <v>112</v>
      </c>
      <c r="AW185" t="s">
        <v>2971</v>
      </c>
      <c r="AX185" t="s">
        <v>74</v>
      </c>
      <c r="AY185" t="s">
        <v>74</v>
      </c>
      <c r="AZ185" t="s">
        <v>74</v>
      </c>
      <c r="BA185" t="s">
        <v>74</v>
      </c>
      <c r="BB185" t="s">
        <v>74</v>
      </c>
      <c r="BC185" t="s">
        <v>74</v>
      </c>
      <c r="BD185" t="s">
        <v>3200</v>
      </c>
      <c r="BE185" t="s">
        <v>3201</v>
      </c>
      <c r="BF185" t="str">
        <f>HYPERLINK("http://dx.doi.org/10.1029/2006JF000664","http://dx.doi.org/10.1029/2006JF000664")</f>
        <v>http://dx.doi.org/10.1029/2006JF000664</v>
      </c>
      <c r="BG185" t="s">
        <v>74</v>
      </c>
      <c r="BH185" t="s">
        <v>74</v>
      </c>
      <c r="BI185">
        <v>19</v>
      </c>
      <c r="BJ185" t="s">
        <v>151</v>
      </c>
      <c r="BK185" t="s">
        <v>98</v>
      </c>
      <c r="BL185" t="s">
        <v>152</v>
      </c>
      <c r="BM185" t="s">
        <v>3202</v>
      </c>
      <c r="BN185" t="s">
        <v>74</v>
      </c>
      <c r="BO185" t="s">
        <v>154</v>
      </c>
      <c r="BP185" t="s">
        <v>74</v>
      </c>
      <c r="BQ185" t="s">
        <v>74</v>
      </c>
      <c r="BR185" t="s">
        <v>101</v>
      </c>
      <c r="BS185" t="s">
        <v>3203</v>
      </c>
      <c r="BT185" t="str">
        <f>HYPERLINK("https%3A%2F%2Fwww.webofscience.com%2Fwos%2Fwoscc%2Ffull-record%2FWOS:000248031500003","View Full Record in Web of Science")</f>
        <v>View Full Record in Web of Science</v>
      </c>
    </row>
    <row r="186" spans="1:72" x14ac:dyDescent="0.15">
      <c r="A186" t="s">
        <v>72</v>
      </c>
      <c r="B186" t="s">
        <v>3204</v>
      </c>
      <c r="C186" t="s">
        <v>74</v>
      </c>
      <c r="D186" t="s">
        <v>74</v>
      </c>
      <c r="E186" t="s">
        <v>74</v>
      </c>
      <c r="F186" t="s">
        <v>3205</v>
      </c>
      <c r="G186" t="s">
        <v>74</v>
      </c>
      <c r="H186" t="s">
        <v>74</v>
      </c>
      <c r="I186" t="s">
        <v>3206</v>
      </c>
      <c r="J186" t="s">
        <v>159</v>
      </c>
      <c r="K186" t="s">
        <v>74</v>
      </c>
      <c r="L186" t="s">
        <v>74</v>
      </c>
      <c r="M186" t="s">
        <v>78</v>
      </c>
      <c r="N186" t="s">
        <v>79</v>
      </c>
      <c r="O186" t="s">
        <v>74</v>
      </c>
      <c r="P186" t="s">
        <v>74</v>
      </c>
      <c r="Q186" t="s">
        <v>74</v>
      </c>
      <c r="R186" t="s">
        <v>74</v>
      </c>
      <c r="S186" t="s">
        <v>74</v>
      </c>
      <c r="T186" t="s">
        <v>74</v>
      </c>
      <c r="U186" t="s">
        <v>3207</v>
      </c>
      <c r="V186" t="s">
        <v>3208</v>
      </c>
      <c r="W186" t="s">
        <v>3209</v>
      </c>
      <c r="X186" t="s">
        <v>3210</v>
      </c>
      <c r="Y186" t="s">
        <v>3211</v>
      </c>
      <c r="Z186" t="s">
        <v>3212</v>
      </c>
      <c r="AA186" t="s">
        <v>74</v>
      </c>
      <c r="AB186" t="s">
        <v>74</v>
      </c>
      <c r="AC186" t="s">
        <v>1125</v>
      </c>
      <c r="AD186" t="s">
        <v>361</v>
      </c>
      <c r="AE186" t="s">
        <v>74</v>
      </c>
      <c r="AF186" t="s">
        <v>74</v>
      </c>
      <c r="AG186">
        <v>31</v>
      </c>
      <c r="AH186">
        <v>89</v>
      </c>
      <c r="AI186">
        <v>94</v>
      </c>
      <c r="AJ186">
        <v>1</v>
      </c>
      <c r="AK186">
        <v>6</v>
      </c>
      <c r="AL186" t="s">
        <v>141</v>
      </c>
      <c r="AM186" t="s">
        <v>142</v>
      </c>
      <c r="AN186" t="s">
        <v>143</v>
      </c>
      <c r="AO186" t="s">
        <v>168</v>
      </c>
      <c r="AP186" t="s">
        <v>169</v>
      </c>
      <c r="AQ186" t="s">
        <v>74</v>
      </c>
      <c r="AR186" t="s">
        <v>170</v>
      </c>
      <c r="AS186" t="s">
        <v>171</v>
      </c>
      <c r="AT186" t="s">
        <v>3173</v>
      </c>
      <c r="AU186">
        <v>2007</v>
      </c>
      <c r="AV186">
        <v>112</v>
      </c>
      <c r="AW186" t="s">
        <v>3213</v>
      </c>
      <c r="AX186" t="s">
        <v>74</v>
      </c>
      <c r="AY186" t="s">
        <v>74</v>
      </c>
      <c r="AZ186" t="s">
        <v>74</v>
      </c>
      <c r="BA186" t="s">
        <v>74</v>
      </c>
      <c r="BB186" t="s">
        <v>74</v>
      </c>
      <c r="BC186" t="s">
        <v>74</v>
      </c>
      <c r="BD186" t="s">
        <v>3214</v>
      </c>
      <c r="BE186" t="s">
        <v>3215</v>
      </c>
      <c r="BF186" t="str">
        <f>HYPERLINK("http://dx.doi.org/10.1029/2007JA012271","http://dx.doi.org/10.1029/2007JA012271")</f>
        <v>http://dx.doi.org/10.1029/2007JA012271</v>
      </c>
      <c r="BG186" t="s">
        <v>74</v>
      </c>
      <c r="BH186" t="s">
        <v>74</v>
      </c>
      <c r="BI186">
        <v>14</v>
      </c>
      <c r="BJ186" t="s">
        <v>175</v>
      </c>
      <c r="BK186" t="s">
        <v>98</v>
      </c>
      <c r="BL186" t="s">
        <v>175</v>
      </c>
      <c r="BM186" t="s">
        <v>3216</v>
      </c>
      <c r="BN186" t="s">
        <v>74</v>
      </c>
      <c r="BO186" t="s">
        <v>3217</v>
      </c>
      <c r="BP186" t="s">
        <v>74</v>
      </c>
      <c r="BQ186" t="s">
        <v>74</v>
      </c>
      <c r="BR186" t="s">
        <v>101</v>
      </c>
      <c r="BS186" t="s">
        <v>3218</v>
      </c>
      <c r="BT186" t="str">
        <f>HYPERLINK("https%3A%2F%2Fwww.webofscience.com%2Fwos%2Fwoscc%2Ffull-record%2FWOS:000248036900002","View Full Record in Web of Science")</f>
        <v>View Full Record in Web of Science</v>
      </c>
    </row>
    <row r="187" spans="1:72" x14ac:dyDescent="0.15">
      <c r="A187" t="s">
        <v>72</v>
      </c>
      <c r="B187" t="s">
        <v>3219</v>
      </c>
      <c r="C187" t="s">
        <v>74</v>
      </c>
      <c r="D187" t="s">
        <v>74</v>
      </c>
      <c r="E187" t="s">
        <v>74</v>
      </c>
      <c r="F187" t="s">
        <v>3220</v>
      </c>
      <c r="G187" t="s">
        <v>74</v>
      </c>
      <c r="H187" t="s">
        <v>74</v>
      </c>
      <c r="I187" t="s">
        <v>3221</v>
      </c>
      <c r="J187" t="s">
        <v>289</v>
      </c>
      <c r="K187" t="s">
        <v>74</v>
      </c>
      <c r="L187" t="s">
        <v>74</v>
      </c>
      <c r="M187" t="s">
        <v>78</v>
      </c>
      <c r="N187" t="s">
        <v>79</v>
      </c>
      <c r="O187" t="s">
        <v>74</v>
      </c>
      <c r="P187" t="s">
        <v>74</v>
      </c>
      <c r="Q187" t="s">
        <v>74</v>
      </c>
      <c r="R187" t="s">
        <v>74</v>
      </c>
      <c r="S187" t="s">
        <v>74</v>
      </c>
      <c r="T187" t="s">
        <v>74</v>
      </c>
      <c r="U187" t="s">
        <v>3222</v>
      </c>
      <c r="V187" t="s">
        <v>3223</v>
      </c>
      <c r="W187" t="s">
        <v>3224</v>
      </c>
      <c r="X187" t="s">
        <v>3225</v>
      </c>
      <c r="Y187" t="s">
        <v>3226</v>
      </c>
      <c r="Z187" t="s">
        <v>74</v>
      </c>
      <c r="AA187" t="s">
        <v>3227</v>
      </c>
      <c r="AB187" t="s">
        <v>3228</v>
      </c>
      <c r="AC187" t="s">
        <v>74</v>
      </c>
      <c r="AD187" t="s">
        <v>74</v>
      </c>
      <c r="AE187" t="s">
        <v>74</v>
      </c>
      <c r="AF187" t="s">
        <v>74</v>
      </c>
      <c r="AG187">
        <v>82</v>
      </c>
      <c r="AH187">
        <v>41</v>
      </c>
      <c r="AI187">
        <v>47</v>
      </c>
      <c r="AJ187">
        <v>0</v>
      </c>
      <c r="AK187">
        <v>21</v>
      </c>
      <c r="AL187" t="s">
        <v>141</v>
      </c>
      <c r="AM187" t="s">
        <v>142</v>
      </c>
      <c r="AN187" t="s">
        <v>143</v>
      </c>
      <c r="AO187" t="s">
        <v>296</v>
      </c>
      <c r="AP187" t="s">
        <v>297</v>
      </c>
      <c r="AQ187" t="s">
        <v>74</v>
      </c>
      <c r="AR187" t="s">
        <v>289</v>
      </c>
      <c r="AS187" t="s">
        <v>298</v>
      </c>
      <c r="AT187" t="s">
        <v>3173</v>
      </c>
      <c r="AU187">
        <v>2007</v>
      </c>
      <c r="AV187">
        <v>22</v>
      </c>
      <c r="AW187">
        <v>3</v>
      </c>
      <c r="AX187" t="s">
        <v>74</v>
      </c>
      <c r="AY187" t="s">
        <v>74</v>
      </c>
      <c r="AZ187" t="s">
        <v>74</v>
      </c>
      <c r="BA187" t="s">
        <v>74</v>
      </c>
      <c r="BB187" t="s">
        <v>74</v>
      </c>
      <c r="BC187" t="s">
        <v>74</v>
      </c>
      <c r="BD187" t="s">
        <v>3229</v>
      </c>
      <c r="BE187" t="s">
        <v>3230</v>
      </c>
      <c r="BF187" t="str">
        <f>HYPERLINK("http://dx.doi.org/10.1029/2007PA001424","http://dx.doi.org/10.1029/2007PA001424")</f>
        <v>http://dx.doi.org/10.1029/2007PA001424</v>
      </c>
      <c r="BG187" t="s">
        <v>74</v>
      </c>
      <c r="BH187" t="s">
        <v>74</v>
      </c>
      <c r="BI187">
        <v>14</v>
      </c>
      <c r="BJ187" t="s">
        <v>301</v>
      </c>
      <c r="BK187" t="s">
        <v>98</v>
      </c>
      <c r="BL187" t="s">
        <v>302</v>
      </c>
      <c r="BM187" t="s">
        <v>3231</v>
      </c>
      <c r="BN187" t="s">
        <v>74</v>
      </c>
      <c r="BO187" t="s">
        <v>154</v>
      </c>
      <c r="BP187" t="s">
        <v>74</v>
      </c>
      <c r="BQ187" t="s">
        <v>74</v>
      </c>
      <c r="BR187" t="s">
        <v>101</v>
      </c>
      <c r="BS187" t="s">
        <v>3232</v>
      </c>
      <c r="BT187" t="str">
        <f>HYPERLINK("https%3A%2F%2Fwww.webofscience.com%2Fwos%2Fwoscc%2Ffull-record%2FWOS:000248037500002","View Full Record in Web of Science")</f>
        <v>View Full Record in Web of Science</v>
      </c>
    </row>
    <row r="188" spans="1:72" x14ac:dyDescent="0.15">
      <c r="A188" t="s">
        <v>72</v>
      </c>
      <c r="B188" t="s">
        <v>3233</v>
      </c>
      <c r="C188" t="s">
        <v>74</v>
      </c>
      <c r="D188" t="s">
        <v>74</v>
      </c>
      <c r="E188" t="s">
        <v>74</v>
      </c>
      <c r="F188" t="s">
        <v>3234</v>
      </c>
      <c r="G188" t="s">
        <v>74</v>
      </c>
      <c r="H188" t="s">
        <v>74</v>
      </c>
      <c r="I188" t="s">
        <v>3235</v>
      </c>
      <c r="J188" t="s">
        <v>203</v>
      </c>
      <c r="K188" t="s">
        <v>74</v>
      </c>
      <c r="L188" t="s">
        <v>74</v>
      </c>
      <c r="M188" t="s">
        <v>78</v>
      </c>
      <c r="N188" t="s">
        <v>79</v>
      </c>
      <c r="O188" t="s">
        <v>74</v>
      </c>
      <c r="P188" t="s">
        <v>74</v>
      </c>
      <c r="Q188" t="s">
        <v>74</v>
      </c>
      <c r="R188" t="s">
        <v>74</v>
      </c>
      <c r="S188" t="s">
        <v>74</v>
      </c>
      <c r="T188" t="s">
        <v>74</v>
      </c>
      <c r="U188" t="s">
        <v>3236</v>
      </c>
      <c r="V188" t="s">
        <v>3237</v>
      </c>
      <c r="W188" t="s">
        <v>3238</v>
      </c>
      <c r="X188" t="s">
        <v>3239</v>
      </c>
      <c r="Y188" t="s">
        <v>3240</v>
      </c>
      <c r="Z188" t="s">
        <v>3241</v>
      </c>
      <c r="AA188" t="s">
        <v>3242</v>
      </c>
      <c r="AB188" t="s">
        <v>3243</v>
      </c>
      <c r="AC188" t="s">
        <v>74</v>
      </c>
      <c r="AD188" t="s">
        <v>74</v>
      </c>
      <c r="AE188" t="s">
        <v>74</v>
      </c>
      <c r="AF188" t="s">
        <v>74</v>
      </c>
      <c r="AG188">
        <v>40</v>
      </c>
      <c r="AH188">
        <v>27</v>
      </c>
      <c r="AI188">
        <v>30</v>
      </c>
      <c r="AJ188">
        <v>0</v>
      </c>
      <c r="AK188">
        <v>6</v>
      </c>
      <c r="AL188" t="s">
        <v>141</v>
      </c>
      <c r="AM188" t="s">
        <v>142</v>
      </c>
      <c r="AN188" t="s">
        <v>143</v>
      </c>
      <c r="AO188" t="s">
        <v>213</v>
      </c>
      <c r="AP188" t="s">
        <v>214</v>
      </c>
      <c r="AQ188" t="s">
        <v>74</v>
      </c>
      <c r="AR188" t="s">
        <v>215</v>
      </c>
      <c r="AS188" t="s">
        <v>216</v>
      </c>
      <c r="AT188" t="s">
        <v>3244</v>
      </c>
      <c r="AU188">
        <v>2007</v>
      </c>
      <c r="AV188">
        <v>112</v>
      </c>
      <c r="AW188" t="s">
        <v>2834</v>
      </c>
      <c r="AX188" t="s">
        <v>74</v>
      </c>
      <c r="AY188" t="s">
        <v>74</v>
      </c>
      <c r="AZ188" t="s">
        <v>74</v>
      </c>
      <c r="BA188" t="s">
        <v>74</v>
      </c>
      <c r="BB188" t="s">
        <v>74</v>
      </c>
      <c r="BC188" t="s">
        <v>74</v>
      </c>
      <c r="BD188" t="s">
        <v>3245</v>
      </c>
      <c r="BE188" t="s">
        <v>3246</v>
      </c>
      <c r="BF188" t="str">
        <f>HYPERLINK("http://dx.doi.org/10.1029/2005JC003291","http://dx.doi.org/10.1029/2005JC003291")</f>
        <v>http://dx.doi.org/10.1029/2005JC003291</v>
      </c>
      <c r="BG188" t="s">
        <v>74</v>
      </c>
      <c r="BH188" t="s">
        <v>74</v>
      </c>
      <c r="BI188">
        <v>12</v>
      </c>
      <c r="BJ188" t="s">
        <v>221</v>
      </c>
      <c r="BK188" t="s">
        <v>98</v>
      </c>
      <c r="BL188" t="s">
        <v>221</v>
      </c>
      <c r="BM188" t="s">
        <v>3247</v>
      </c>
      <c r="BN188" t="s">
        <v>74</v>
      </c>
      <c r="BO188" t="s">
        <v>154</v>
      </c>
      <c r="BP188" t="s">
        <v>74</v>
      </c>
      <c r="BQ188" t="s">
        <v>74</v>
      </c>
      <c r="BR188" t="s">
        <v>101</v>
      </c>
      <c r="BS188" t="s">
        <v>3248</v>
      </c>
      <c r="BT188" t="str">
        <f>HYPERLINK("https%3A%2F%2Fwww.webofscience.com%2Fwos%2Fwoscc%2Ffull-record%2FWOS:000247882400001","View Full Record in Web of Science")</f>
        <v>View Full Record in Web of Science</v>
      </c>
    </row>
    <row r="189" spans="1:72" x14ac:dyDescent="0.15">
      <c r="A189" t="s">
        <v>72</v>
      </c>
      <c r="B189" t="s">
        <v>3249</v>
      </c>
      <c r="C189" t="s">
        <v>74</v>
      </c>
      <c r="D189" t="s">
        <v>74</v>
      </c>
      <c r="E189" t="s">
        <v>74</v>
      </c>
      <c r="F189" t="s">
        <v>3250</v>
      </c>
      <c r="G189" t="s">
        <v>74</v>
      </c>
      <c r="H189" t="s">
        <v>74</v>
      </c>
      <c r="I189" t="s">
        <v>3251</v>
      </c>
      <c r="J189" t="s">
        <v>159</v>
      </c>
      <c r="K189" t="s">
        <v>74</v>
      </c>
      <c r="L189" t="s">
        <v>74</v>
      </c>
      <c r="M189" t="s">
        <v>78</v>
      </c>
      <c r="N189" t="s">
        <v>620</v>
      </c>
      <c r="O189" t="s">
        <v>74</v>
      </c>
      <c r="P189" t="s">
        <v>74</v>
      </c>
      <c r="Q189" t="s">
        <v>74</v>
      </c>
      <c r="R189" t="s">
        <v>74</v>
      </c>
      <c r="S189" t="s">
        <v>74</v>
      </c>
      <c r="T189" t="s">
        <v>74</v>
      </c>
      <c r="U189" t="s">
        <v>3252</v>
      </c>
      <c r="V189" t="s">
        <v>74</v>
      </c>
      <c r="W189" t="s">
        <v>3253</v>
      </c>
      <c r="X189" t="s">
        <v>2367</v>
      </c>
      <c r="Y189" t="s">
        <v>3254</v>
      </c>
      <c r="Z189" t="s">
        <v>3255</v>
      </c>
      <c r="AA189" t="s">
        <v>3256</v>
      </c>
      <c r="AB189" t="s">
        <v>3257</v>
      </c>
      <c r="AC189" t="s">
        <v>74</v>
      </c>
      <c r="AD189" t="s">
        <v>74</v>
      </c>
      <c r="AE189" t="s">
        <v>74</v>
      </c>
      <c r="AF189" t="s">
        <v>74</v>
      </c>
      <c r="AG189">
        <v>14</v>
      </c>
      <c r="AH189">
        <v>7</v>
      </c>
      <c r="AI189">
        <v>7</v>
      </c>
      <c r="AJ189">
        <v>0</v>
      </c>
      <c r="AK189">
        <v>0</v>
      </c>
      <c r="AL189" t="s">
        <v>141</v>
      </c>
      <c r="AM189" t="s">
        <v>142</v>
      </c>
      <c r="AN189" t="s">
        <v>143</v>
      </c>
      <c r="AO189" t="s">
        <v>168</v>
      </c>
      <c r="AP189" t="s">
        <v>169</v>
      </c>
      <c r="AQ189" t="s">
        <v>74</v>
      </c>
      <c r="AR189" t="s">
        <v>170</v>
      </c>
      <c r="AS189" t="s">
        <v>171</v>
      </c>
      <c r="AT189" t="s">
        <v>3244</v>
      </c>
      <c r="AU189">
        <v>2007</v>
      </c>
      <c r="AV189">
        <v>112</v>
      </c>
      <c r="AW189" t="s">
        <v>3213</v>
      </c>
      <c r="AX189" t="s">
        <v>74</v>
      </c>
      <c r="AY189" t="s">
        <v>74</v>
      </c>
      <c r="AZ189" t="s">
        <v>74</v>
      </c>
      <c r="BA189" t="s">
        <v>74</v>
      </c>
      <c r="BB189" t="s">
        <v>74</v>
      </c>
      <c r="BC189" t="s">
        <v>74</v>
      </c>
      <c r="BD189" t="s">
        <v>3258</v>
      </c>
      <c r="BE189" t="s">
        <v>3259</v>
      </c>
      <c r="BF189" t="str">
        <f>HYPERLINK("http://dx.doi.org/10.1029/2006JA011950","http://dx.doi.org/10.1029/2006JA011950")</f>
        <v>http://dx.doi.org/10.1029/2006JA011950</v>
      </c>
      <c r="BG189" t="s">
        <v>74</v>
      </c>
      <c r="BH189" t="s">
        <v>74</v>
      </c>
      <c r="BI189">
        <v>8</v>
      </c>
      <c r="BJ189" t="s">
        <v>175</v>
      </c>
      <c r="BK189" t="s">
        <v>98</v>
      </c>
      <c r="BL189" t="s">
        <v>175</v>
      </c>
      <c r="BM189" t="s">
        <v>3260</v>
      </c>
      <c r="BN189" t="s">
        <v>74</v>
      </c>
      <c r="BO189" t="s">
        <v>74</v>
      </c>
      <c r="BP189" t="s">
        <v>74</v>
      </c>
      <c r="BQ189" t="s">
        <v>74</v>
      </c>
      <c r="BR189" t="s">
        <v>101</v>
      </c>
      <c r="BS189" t="s">
        <v>3261</v>
      </c>
      <c r="BT189" t="str">
        <f>HYPERLINK("https%3A%2F%2Fwww.webofscience.com%2Fwos%2Fwoscc%2Ffull-record%2FWOS:000247884600001","View Full Record in Web of Science")</f>
        <v>View Full Record in Web of Science</v>
      </c>
    </row>
    <row r="190" spans="1:72" x14ac:dyDescent="0.15">
      <c r="A190" t="s">
        <v>72</v>
      </c>
      <c r="B190" t="s">
        <v>3262</v>
      </c>
      <c r="C190" t="s">
        <v>74</v>
      </c>
      <c r="D190" t="s">
        <v>74</v>
      </c>
      <c r="E190" t="s">
        <v>74</v>
      </c>
      <c r="F190" t="s">
        <v>3263</v>
      </c>
      <c r="G190" t="s">
        <v>74</v>
      </c>
      <c r="H190" t="s">
        <v>74</v>
      </c>
      <c r="I190" t="s">
        <v>3264</v>
      </c>
      <c r="J190" t="s">
        <v>159</v>
      </c>
      <c r="K190" t="s">
        <v>74</v>
      </c>
      <c r="L190" t="s">
        <v>74</v>
      </c>
      <c r="M190" t="s">
        <v>78</v>
      </c>
      <c r="N190" t="s">
        <v>79</v>
      </c>
      <c r="O190" t="s">
        <v>74</v>
      </c>
      <c r="P190" t="s">
        <v>74</v>
      </c>
      <c r="Q190" t="s">
        <v>74</v>
      </c>
      <c r="R190" t="s">
        <v>74</v>
      </c>
      <c r="S190" t="s">
        <v>74</v>
      </c>
      <c r="T190" t="s">
        <v>74</v>
      </c>
      <c r="U190" t="s">
        <v>3265</v>
      </c>
      <c r="V190" t="s">
        <v>3266</v>
      </c>
      <c r="W190" t="s">
        <v>3267</v>
      </c>
      <c r="X190" t="s">
        <v>3268</v>
      </c>
      <c r="Y190" t="s">
        <v>3269</v>
      </c>
      <c r="Z190" t="s">
        <v>3270</v>
      </c>
      <c r="AA190" t="s">
        <v>1123</v>
      </c>
      <c r="AB190" t="s">
        <v>3271</v>
      </c>
      <c r="AC190" t="s">
        <v>74</v>
      </c>
      <c r="AD190" t="s">
        <v>74</v>
      </c>
      <c r="AE190" t="s">
        <v>74</v>
      </c>
      <c r="AF190" t="s">
        <v>74</v>
      </c>
      <c r="AG190">
        <v>41</v>
      </c>
      <c r="AH190">
        <v>21</v>
      </c>
      <c r="AI190">
        <v>23</v>
      </c>
      <c r="AJ190">
        <v>0</v>
      </c>
      <c r="AK190">
        <v>8</v>
      </c>
      <c r="AL190" t="s">
        <v>141</v>
      </c>
      <c r="AM190" t="s">
        <v>142</v>
      </c>
      <c r="AN190" t="s">
        <v>143</v>
      </c>
      <c r="AO190" t="s">
        <v>168</v>
      </c>
      <c r="AP190" t="s">
        <v>169</v>
      </c>
      <c r="AQ190" t="s">
        <v>74</v>
      </c>
      <c r="AR190" t="s">
        <v>170</v>
      </c>
      <c r="AS190" t="s">
        <v>171</v>
      </c>
      <c r="AT190" t="s">
        <v>3244</v>
      </c>
      <c r="AU190">
        <v>2007</v>
      </c>
      <c r="AV190">
        <v>112</v>
      </c>
      <c r="AW190" t="s">
        <v>3213</v>
      </c>
      <c r="AX190" t="s">
        <v>74</v>
      </c>
      <c r="AY190" t="s">
        <v>74</v>
      </c>
      <c r="AZ190" t="s">
        <v>74</v>
      </c>
      <c r="BA190" t="s">
        <v>74</v>
      </c>
      <c r="BB190" t="s">
        <v>74</v>
      </c>
      <c r="BC190" t="s">
        <v>74</v>
      </c>
      <c r="BD190" t="s">
        <v>3272</v>
      </c>
      <c r="BE190" t="s">
        <v>3273</v>
      </c>
      <c r="BF190" t="str">
        <f>HYPERLINK("http://dx.doi.org/10.1029/2007JA012347,","http://dx.doi.org/10.1029/2007JA012347,")</f>
        <v>http://dx.doi.org/10.1029/2007JA012347,</v>
      </c>
      <c r="BG190" t="s">
        <v>74</v>
      </c>
      <c r="BH190" t="s">
        <v>74</v>
      </c>
      <c r="BI190">
        <v>11</v>
      </c>
      <c r="BJ190" t="s">
        <v>175</v>
      </c>
      <c r="BK190" t="s">
        <v>98</v>
      </c>
      <c r="BL190" t="s">
        <v>175</v>
      </c>
      <c r="BM190" t="s">
        <v>3260</v>
      </c>
      <c r="BN190" t="s">
        <v>74</v>
      </c>
      <c r="BO190" t="s">
        <v>74</v>
      </c>
      <c r="BP190" t="s">
        <v>74</v>
      </c>
      <c r="BQ190" t="s">
        <v>74</v>
      </c>
      <c r="BR190" t="s">
        <v>101</v>
      </c>
      <c r="BS190" t="s">
        <v>3274</v>
      </c>
      <c r="BT190" t="str">
        <f>HYPERLINK("https%3A%2F%2Fwww.webofscience.com%2Fwos%2Fwoscc%2Ffull-record%2FWOS:000247884600009","View Full Record in Web of Science")</f>
        <v>View Full Record in Web of Science</v>
      </c>
    </row>
    <row r="191" spans="1:72" x14ac:dyDescent="0.15">
      <c r="A191" t="s">
        <v>72</v>
      </c>
      <c r="B191" t="s">
        <v>3275</v>
      </c>
      <c r="C191" t="s">
        <v>74</v>
      </c>
      <c r="D191" t="s">
        <v>74</v>
      </c>
      <c r="E191" t="s">
        <v>74</v>
      </c>
      <c r="F191" t="s">
        <v>3276</v>
      </c>
      <c r="G191" t="s">
        <v>74</v>
      </c>
      <c r="H191" t="s">
        <v>74</v>
      </c>
      <c r="I191" t="s">
        <v>3277</v>
      </c>
      <c r="J191" t="s">
        <v>159</v>
      </c>
      <c r="K191" t="s">
        <v>74</v>
      </c>
      <c r="L191" t="s">
        <v>74</v>
      </c>
      <c r="M191" t="s">
        <v>78</v>
      </c>
      <c r="N191" t="s">
        <v>620</v>
      </c>
      <c r="O191" t="s">
        <v>74</v>
      </c>
      <c r="P191" t="s">
        <v>74</v>
      </c>
      <c r="Q191" t="s">
        <v>74</v>
      </c>
      <c r="R191" t="s">
        <v>74</v>
      </c>
      <c r="S191" t="s">
        <v>74</v>
      </c>
      <c r="T191" t="s">
        <v>74</v>
      </c>
      <c r="U191" t="s">
        <v>3278</v>
      </c>
      <c r="V191" t="s">
        <v>74</v>
      </c>
      <c r="W191" t="s">
        <v>3279</v>
      </c>
      <c r="X191" t="s">
        <v>3280</v>
      </c>
      <c r="Y191" t="s">
        <v>3281</v>
      </c>
      <c r="Z191" t="s">
        <v>3282</v>
      </c>
      <c r="AA191" t="s">
        <v>74</v>
      </c>
      <c r="AB191" t="s">
        <v>74</v>
      </c>
      <c r="AC191" t="s">
        <v>74</v>
      </c>
      <c r="AD191" t="s">
        <v>74</v>
      </c>
      <c r="AE191" t="s">
        <v>74</v>
      </c>
      <c r="AF191" t="s">
        <v>74</v>
      </c>
      <c r="AG191">
        <v>8</v>
      </c>
      <c r="AH191">
        <v>8</v>
      </c>
      <c r="AI191">
        <v>9</v>
      </c>
      <c r="AJ191">
        <v>0</v>
      </c>
      <c r="AK191">
        <v>2</v>
      </c>
      <c r="AL191" t="s">
        <v>141</v>
      </c>
      <c r="AM191" t="s">
        <v>142</v>
      </c>
      <c r="AN191" t="s">
        <v>143</v>
      </c>
      <c r="AO191" t="s">
        <v>168</v>
      </c>
      <c r="AP191" t="s">
        <v>169</v>
      </c>
      <c r="AQ191" t="s">
        <v>74</v>
      </c>
      <c r="AR191" t="s">
        <v>170</v>
      </c>
      <c r="AS191" t="s">
        <v>171</v>
      </c>
      <c r="AT191" t="s">
        <v>3244</v>
      </c>
      <c r="AU191">
        <v>2007</v>
      </c>
      <c r="AV191">
        <v>112</v>
      </c>
      <c r="AW191" t="s">
        <v>3213</v>
      </c>
      <c r="AX191" t="s">
        <v>74</v>
      </c>
      <c r="AY191" t="s">
        <v>74</v>
      </c>
      <c r="AZ191" t="s">
        <v>74</v>
      </c>
      <c r="BA191" t="s">
        <v>74</v>
      </c>
      <c r="BB191" t="s">
        <v>74</v>
      </c>
      <c r="BC191" t="s">
        <v>74</v>
      </c>
      <c r="BD191" t="s">
        <v>3283</v>
      </c>
      <c r="BE191" t="s">
        <v>3284</v>
      </c>
      <c r="BF191" t="str">
        <f>HYPERLINK("http://dx.doi.org/10.1029/2006JA012029","http://dx.doi.org/10.1029/2006JA012029")</f>
        <v>http://dx.doi.org/10.1029/2006JA012029</v>
      </c>
      <c r="BG191" t="s">
        <v>74</v>
      </c>
      <c r="BH191" t="s">
        <v>74</v>
      </c>
      <c r="BI191">
        <v>5</v>
      </c>
      <c r="BJ191" t="s">
        <v>175</v>
      </c>
      <c r="BK191" t="s">
        <v>98</v>
      </c>
      <c r="BL191" t="s">
        <v>175</v>
      </c>
      <c r="BM191" t="s">
        <v>3260</v>
      </c>
      <c r="BN191" t="s">
        <v>74</v>
      </c>
      <c r="BO191" t="s">
        <v>154</v>
      </c>
      <c r="BP191" t="s">
        <v>74</v>
      </c>
      <c r="BQ191" t="s">
        <v>74</v>
      </c>
      <c r="BR191" t="s">
        <v>101</v>
      </c>
      <c r="BS191" t="s">
        <v>3285</v>
      </c>
      <c r="BT191" t="str">
        <f>HYPERLINK("https%3A%2F%2Fwww.webofscience.com%2Fwos%2Fwoscc%2Ffull-record%2FWOS:000247884600002","View Full Record in Web of Science")</f>
        <v>View Full Record in Web of Science</v>
      </c>
    </row>
    <row r="192" spans="1:72" x14ac:dyDescent="0.15">
      <c r="A192" t="s">
        <v>72</v>
      </c>
      <c r="B192" t="s">
        <v>3286</v>
      </c>
      <c r="C192" t="s">
        <v>74</v>
      </c>
      <c r="D192" t="s">
        <v>74</v>
      </c>
      <c r="E192" t="s">
        <v>74</v>
      </c>
      <c r="F192" t="s">
        <v>3287</v>
      </c>
      <c r="G192" t="s">
        <v>74</v>
      </c>
      <c r="H192" t="s">
        <v>74</v>
      </c>
      <c r="I192" t="s">
        <v>3288</v>
      </c>
      <c r="J192" t="s">
        <v>130</v>
      </c>
      <c r="K192" t="s">
        <v>74</v>
      </c>
      <c r="L192" t="s">
        <v>74</v>
      </c>
      <c r="M192" t="s">
        <v>78</v>
      </c>
      <c r="N192" t="s">
        <v>79</v>
      </c>
      <c r="O192" t="s">
        <v>74</v>
      </c>
      <c r="P192" t="s">
        <v>74</v>
      </c>
      <c r="Q192" t="s">
        <v>74</v>
      </c>
      <c r="R192" t="s">
        <v>74</v>
      </c>
      <c r="S192" t="s">
        <v>74</v>
      </c>
      <c r="T192" t="s">
        <v>74</v>
      </c>
      <c r="U192" t="s">
        <v>3289</v>
      </c>
      <c r="V192" t="s">
        <v>3290</v>
      </c>
      <c r="W192" t="s">
        <v>3291</v>
      </c>
      <c r="X192" t="s">
        <v>3292</v>
      </c>
      <c r="Y192" t="s">
        <v>3293</v>
      </c>
      <c r="Z192" t="s">
        <v>3294</v>
      </c>
      <c r="AA192" t="s">
        <v>74</v>
      </c>
      <c r="AB192" t="s">
        <v>3295</v>
      </c>
      <c r="AC192" t="s">
        <v>74</v>
      </c>
      <c r="AD192" t="s">
        <v>74</v>
      </c>
      <c r="AE192" t="s">
        <v>74</v>
      </c>
      <c r="AF192" t="s">
        <v>74</v>
      </c>
      <c r="AG192">
        <v>31</v>
      </c>
      <c r="AH192">
        <v>20</v>
      </c>
      <c r="AI192">
        <v>21</v>
      </c>
      <c r="AJ192">
        <v>0</v>
      </c>
      <c r="AK192">
        <v>12</v>
      </c>
      <c r="AL192" t="s">
        <v>141</v>
      </c>
      <c r="AM192" t="s">
        <v>142</v>
      </c>
      <c r="AN192" t="s">
        <v>143</v>
      </c>
      <c r="AO192" t="s">
        <v>144</v>
      </c>
      <c r="AP192" t="s">
        <v>145</v>
      </c>
      <c r="AQ192" t="s">
        <v>74</v>
      </c>
      <c r="AR192" t="s">
        <v>146</v>
      </c>
      <c r="AS192" t="s">
        <v>147</v>
      </c>
      <c r="AT192" t="s">
        <v>3296</v>
      </c>
      <c r="AU192">
        <v>2007</v>
      </c>
      <c r="AV192">
        <v>34</v>
      </c>
      <c r="AW192">
        <v>13</v>
      </c>
      <c r="AX192" t="s">
        <v>74</v>
      </c>
      <c r="AY192" t="s">
        <v>74</v>
      </c>
      <c r="AZ192" t="s">
        <v>74</v>
      </c>
      <c r="BA192" t="s">
        <v>74</v>
      </c>
      <c r="BB192" t="s">
        <v>74</v>
      </c>
      <c r="BC192" t="s">
        <v>74</v>
      </c>
      <c r="BD192" t="s">
        <v>3297</v>
      </c>
      <c r="BE192" t="s">
        <v>3298</v>
      </c>
      <c r="BF192" t="str">
        <f>HYPERLINK("http://dx.doi.org/10.1029/2006GL029083","http://dx.doi.org/10.1029/2006GL029083")</f>
        <v>http://dx.doi.org/10.1029/2006GL029083</v>
      </c>
      <c r="BG192" t="s">
        <v>74</v>
      </c>
      <c r="BH192" t="s">
        <v>74</v>
      </c>
      <c r="BI192">
        <v>5</v>
      </c>
      <c r="BJ192" t="s">
        <v>151</v>
      </c>
      <c r="BK192" t="s">
        <v>98</v>
      </c>
      <c r="BL192" t="s">
        <v>152</v>
      </c>
      <c r="BM192" t="s">
        <v>3299</v>
      </c>
      <c r="BN192" t="s">
        <v>74</v>
      </c>
      <c r="BO192" t="s">
        <v>304</v>
      </c>
      <c r="BP192" t="s">
        <v>74</v>
      </c>
      <c r="BQ192" t="s">
        <v>74</v>
      </c>
      <c r="BR192" t="s">
        <v>101</v>
      </c>
      <c r="BS192" t="s">
        <v>3300</v>
      </c>
      <c r="BT192" t="str">
        <f>HYPERLINK("https%3A%2F%2Fwww.webofscience.com%2Fwos%2Fwoscc%2Ffull-record%2FWOS:000247879700001","View Full Record in Web of Science")</f>
        <v>View Full Record in Web of Science</v>
      </c>
    </row>
    <row r="193" spans="1:72" x14ac:dyDescent="0.15">
      <c r="A193" t="s">
        <v>72</v>
      </c>
      <c r="B193" t="s">
        <v>3301</v>
      </c>
      <c r="C193" t="s">
        <v>74</v>
      </c>
      <c r="D193" t="s">
        <v>74</v>
      </c>
      <c r="E193" t="s">
        <v>74</v>
      </c>
      <c r="F193" t="s">
        <v>3302</v>
      </c>
      <c r="G193" t="s">
        <v>74</v>
      </c>
      <c r="H193" t="s">
        <v>74</v>
      </c>
      <c r="I193" t="s">
        <v>3303</v>
      </c>
      <c r="J193" t="s">
        <v>3304</v>
      </c>
      <c r="K193" t="s">
        <v>74</v>
      </c>
      <c r="L193" t="s">
        <v>74</v>
      </c>
      <c r="M193" t="s">
        <v>78</v>
      </c>
      <c r="N193" t="s">
        <v>79</v>
      </c>
      <c r="O193" t="s">
        <v>74</v>
      </c>
      <c r="P193" t="s">
        <v>74</v>
      </c>
      <c r="Q193" t="s">
        <v>74</v>
      </c>
      <c r="R193" t="s">
        <v>74</v>
      </c>
      <c r="S193" t="s">
        <v>74</v>
      </c>
      <c r="T193" t="s">
        <v>3305</v>
      </c>
      <c r="U193" t="s">
        <v>3306</v>
      </c>
      <c r="V193" t="s">
        <v>3307</v>
      </c>
      <c r="W193" t="s">
        <v>3308</v>
      </c>
      <c r="X193" t="s">
        <v>3309</v>
      </c>
      <c r="Y193" t="s">
        <v>3310</v>
      </c>
      <c r="Z193" t="s">
        <v>3311</v>
      </c>
      <c r="AA193" t="s">
        <v>3312</v>
      </c>
      <c r="AB193" t="s">
        <v>3313</v>
      </c>
      <c r="AC193" t="s">
        <v>74</v>
      </c>
      <c r="AD193" t="s">
        <v>74</v>
      </c>
      <c r="AE193" t="s">
        <v>74</v>
      </c>
      <c r="AF193" t="s">
        <v>74</v>
      </c>
      <c r="AG193">
        <v>27</v>
      </c>
      <c r="AH193">
        <v>38</v>
      </c>
      <c r="AI193">
        <v>45</v>
      </c>
      <c r="AJ193">
        <v>1</v>
      </c>
      <c r="AK193">
        <v>23</v>
      </c>
      <c r="AL193" t="s">
        <v>1592</v>
      </c>
      <c r="AM193" t="s">
        <v>1593</v>
      </c>
      <c r="AN193" t="s">
        <v>2406</v>
      </c>
      <c r="AO193" t="s">
        <v>3314</v>
      </c>
      <c r="AP193" t="s">
        <v>3315</v>
      </c>
      <c r="AQ193" t="s">
        <v>74</v>
      </c>
      <c r="AR193" t="s">
        <v>3316</v>
      </c>
      <c r="AS193" t="s">
        <v>3317</v>
      </c>
      <c r="AT193" t="s">
        <v>3318</v>
      </c>
      <c r="AU193">
        <v>2007</v>
      </c>
      <c r="AV193">
        <v>188</v>
      </c>
      <c r="AW193">
        <v>1</v>
      </c>
      <c r="AX193" t="s">
        <v>74</v>
      </c>
      <c r="AY193" t="s">
        <v>74</v>
      </c>
      <c r="AZ193" t="s">
        <v>74</v>
      </c>
      <c r="BA193" t="s">
        <v>74</v>
      </c>
      <c r="BB193">
        <v>27</v>
      </c>
      <c r="BC193">
        <v>36</v>
      </c>
      <c r="BD193" t="s">
        <v>74</v>
      </c>
      <c r="BE193" t="s">
        <v>3319</v>
      </c>
      <c r="BF193" t="str">
        <f>HYPERLINK("http://dx.doi.org/10.1007/s00203-007-0220-2","http://dx.doi.org/10.1007/s00203-007-0220-2")</f>
        <v>http://dx.doi.org/10.1007/s00203-007-0220-2</v>
      </c>
      <c r="BG193" t="s">
        <v>74</v>
      </c>
      <c r="BH193" t="s">
        <v>74</v>
      </c>
      <c r="BI193">
        <v>10</v>
      </c>
      <c r="BJ193" t="s">
        <v>1722</v>
      </c>
      <c r="BK193" t="s">
        <v>98</v>
      </c>
      <c r="BL193" t="s">
        <v>1722</v>
      </c>
      <c r="BM193" t="s">
        <v>3320</v>
      </c>
      <c r="BN193">
        <v>17516048</v>
      </c>
      <c r="BO193" t="s">
        <v>74</v>
      </c>
      <c r="BP193" t="s">
        <v>74</v>
      </c>
      <c r="BQ193" t="s">
        <v>74</v>
      </c>
      <c r="BR193" t="s">
        <v>101</v>
      </c>
      <c r="BS193" t="s">
        <v>3321</v>
      </c>
      <c r="BT193" t="str">
        <f>HYPERLINK("https%3A%2F%2Fwww.webofscience.com%2Fwos%2Fwoscc%2Ffull-record%2FWOS:000247237900003","View Full Record in Web of Science")</f>
        <v>View Full Record in Web of Science</v>
      </c>
    </row>
    <row r="194" spans="1:72" x14ac:dyDescent="0.15">
      <c r="A194" t="s">
        <v>72</v>
      </c>
      <c r="B194" t="s">
        <v>3322</v>
      </c>
      <c r="C194" t="s">
        <v>74</v>
      </c>
      <c r="D194" t="s">
        <v>74</v>
      </c>
      <c r="E194" t="s">
        <v>74</v>
      </c>
      <c r="F194" t="s">
        <v>3323</v>
      </c>
      <c r="G194" t="s">
        <v>74</v>
      </c>
      <c r="H194" t="s">
        <v>74</v>
      </c>
      <c r="I194" t="s">
        <v>3324</v>
      </c>
      <c r="J194" t="s">
        <v>1496</v>
      </c>
      <c r="K194" t="s">
        <v>74</v>
      </c>
      <c r="L194" t="s">
        <v>74</v>
      </c>
      <c r="M194" t="s">
        <v>78</v>
      </c>
      <c r="N194" t="s">
        <v>79</v>
      </c>
      <c r="O194" t="s">
        <v>74</v>
      </c>
      <c r="P194" t="s">
        <v>74</v>
      </c>
      <c r="Q194" t="s">
        <v>74</v>
      </c>
      <c r="R194" t="s">
        <v>74</v>
      </c>
      <c r="S194" t="s">
        <v>74</v>
      </c>
      <c r="T194" t="s">
        <v>3325</v>
      </c>
      <c r="U194" t="s">
        <v>3326</v>
      </c>
      <c r="V194" t="s">
        <v>3327</v>
      </c>
      <c r="W194" t="s">
        <v>3328</v>
      </c>
      <c r="X194" t="s">
        <v>3329</v>
      </c>
      <c r="Y194" t="s">
        <v>3330</v>
      </c>
      <c r="Z194" t="s">
        <v>3331</v>
      </c>
      <c r="AA194" t="s">
        <v>74</v>
      </c>
      <c r="AB194" t="s">
        <v>74</v>
      </c>
      <c r="AC194" t="s">
        <v>74</v>
      </c>
      <c r="AD194" t="s">
        <v>74</v>
      </c>
      <c r="AE194" t="s">
        <v>74</v>
      </c>
      <c r="AF194" t="s">
        <v>74</v>
      </c>
      <c r="AG194">
        <v>42</v>
      </c>
      <c r="AH194">
        <v>20</v>
      </c>
      <c r="AI194">
        <v>27</v>
      </c>
      <c r="AJ194">
        <v>4</v>
      </c>
      <c r="AK194">
        <v>28</v>
      </c>
      <c r="AL194" t="s">
        <v>1503</v>
      </c>
      <c r="AM194" t="s">
        <v>1504</v>
      </c>
      <c r="AN194" t="s">
        <v>1505</v>
      </c>
      <c r="AO194" t="s">
        <v>1506</v>
      </c>
      <c r="AP194" t="s">
        <v>1507</v>
      </c>
      <c r="AQ194" t="s">
        <v>74</v>
      </c>
      <c r="AR194" t="s">
        <v>1508</v>
      </c>
      <c r="AS194" t="s">
        <v>1509</v>
      </c>
      <c r="AT194" t="s">
        <v>3318</v>
      </c>
      <c r="AU194">
        <v>2007</v>
      </c>
      <c r="AV194">
        <v>41</v>
      </c>
      <c r="AW194">
        <v>22</v>
      </c>
      <c r="AX194" t="s">
        <v>74</v>
      </c>
      <c r="AY194" t="s">
        <v>74</v>
      </c>
      <c r="AZ194" t="s">
        <v>74</v>
      </c>
      <c r="BA194" t="s">
        <v>74</v>
      </c>
      <c r="BB194">
        <v>4711</v>
      </c>
      <c r="BC194">
        <v>4722</v>
      </c>
      <c r="BD194" t="s">
        <v>74</v>
      </c>
      <c r="BE194" t="s">
        <v>3332</v>
      </c>
      <c r="BF194" t="str">
        <f>HYPERLINK("http://dx.doi.org/10.1016/j.atmosenv.2007.03.030","http://dx.doi.org/10.1016/j.atmosenv.2007.03.030")</f>
        <v>http://dx.doi.org/10.1016/j.atmosenv.2007.03.030</v>
      </c>
      <c r="BG194" t="s">
        <v>74</v>
      </c>
      <c r="BH194" t="s">
        <v>74</v>
      </c>
      <c r="BI194">
        <v>12</v>
      </c>
      <c r="BJ194" t="s">
        <v>1511</v>
      </c>
      <c r="BK194" t="s">
        <v>98</v>
      </c>
      <c r="BL194" t="s">
        <v>1512</v>
      </c>
      <c r="BM194" t="s">
        <v>3333</v>
      </c>
      <c r="BN194" t="s">
        <v>74</v>
      </c>
      <c r="BO194" t="s">
        <v>74</v>
      </c>
      <c r="BP194" t="s">
        <v>74</v>
      </c>
      <c r="BQ194" t="s">
        <v>74</v>
      </c>
      <c r="BR194" t="s">
        <v>101</v>
      </c>
      <c r="BS194" t="s">
        <v>3334</v>
      </c>
      <c r="BT194" t="str">
        <f>HYPERLINK("https%3A%2F%2Fwww.webofscience.com%2Fwos%2Fwoscc%2Ffull-record%2FWOS:000247769100013","View Full Record in Web of Science")</f>
        <v>View Full Record in Web of Science</v>
      </c>
    </row>
    <row r="195" spans="1:72" x14ac:dyDescent="0.15">
      <c r="A195" t="s">
        <v>72</v>
      </c>
      <c r="B195" t="s">
        <v>3335</v>
      </c>
      <c r="C195" t="s">
        <v>74</v>
      </c>
      <c r="D195" t="s">
        <v>74</v>
      </c>
      <c r="E195" t="s">
        <v>74</v>
      </c>
      <c r="F195" t="s">
        <v>3336</v>
      </c>
      <c r="G195" t="s">
        <v>74</v>
      </c>
      <c r="H195" t="s">
        <v>74</v>
      </c>
      <c r="I195" t="s">
        <v>3337</v>
      </c>
      <c r="J195" t="s">
        <v>3338</v>
      </c>
      <c r="K195" t="s">
        <v>74</v>
      </c>
      <c r="L195" t="s">
        <v>74</v>
      </c>
      <c r="M195" t="s">
        <v>78</v>
      </c>
      <c r="N195" t="s">
        <v>79</v>
      </c>
      <c r="O195" t="s">
        <v>74</v>
      </c>
      <c r="P195" t="s">
        <v>74</v>
      </c>
      <c r="Q195" t="s">
        <v>74</v>
      </c>
      <c r="R195" t="s">
        <v>74</v>
      </c>
      <c r="S195" t="s">
        <v>74</v>
      </c>
      <c r="T195" t="s">
        <v>3339</v>
      </c>
      <c r="U195" t="s">
        <v>3340</v>
      </c>
      <c r="V195" t="s">
        <v>3341</v>
      </c>
      <c r="W195" t="s">
        <v>3342</v>
      </c>
      <c r="X195" t="s">
        <v>3343</v>
      </c>
      <c r="Y195" t="s">
        <v>3344</v>
      </c>
      <c r="Z195" t="s">
        <v>3345</v>
      </c>
      <c r="AA195" t="s">
        <v>3346</v>
      </c>
      <c r="AB195" t="s">
        <v>3347</v>
      </c>
      <c r="AC195" t="s">
        <v>3348</v>
      </c>
      <c r="AD195" t="s">
        <v>3349</v>
      </c>
      <c r="AE195" t="s">
        <v>3350</v>
      </c>
      <c r="AF195" t="s">
        <v>74</v>
      </c>
      <c r="AG195">
        <v>52</v>
      </c>
      <c r="AH195">
        <v>195</v>
      </c>
      <c r="AI195">
        <v>219</v>
      </c>
      <c r="AJ195">
        <v>2</v>
      </c>
      <c r="AK195">
        <v>25</v>
      </c>
      <c r="AL195" t="s">
        <v>3351</v>
      </c>
      <c r="AM195" t="s">
        <v>1203</v>
      </c>
      <c r="AN195" t="s">
        <v>1204</v>
      </c>
      <c r="AO195" t="s">
        <v>3352</v>
      </c>
      <c r="AP195" t="s">
        <v>74</v>
      </c>
      <c r="AQ195" t="s">
        <v>74</v>
      </c>
      <c r="AR195" t="s">
        <v>3353</v>
      </c>
      <c r="AS195" t="s">
        <v>3354</v>
      </c>
      <c r="AT195" t="s">
        <v>3355</v>
      </c>
      <c r="AU195">
        <v>2007</v>
      </c>
      <c r="AV195">
        <v>8</v>
      </c>
      <c r="AW195">
        <v>3</v>
      </c>
      <c r="AX195" t="s">
        <v>74</v>
      </c>
      <c r="AY195" t="s">
        <v>74</v>
      </c>
      <c r="AZ195" t="s">
        <v>74</v>
      </c>
      <c r="BA195" t="s">
        <v>74</v>
      </c>
      <c r="BB195">
        <v>65</v>
      </c>
      <c r="BC195">
        <v>69</v>
      </c>
      <c r="BD195" t="s">
        <v>74</v>
      </c>
      <c r="BE195" t="s">
        <v>3356</v>
      </c>
      <c r="BF195" t="str">
        <f>HYPERLINK("http://dx.doi.org/10.1002/asl.153","http://dx.doi.org/10.1002/asl.153")</f>
        <v>http://dx.doi.org/10.1002/asl.153</v>
      </c>
      <c r="BG195" t="s">
        <v>74</v>
      </c>
      <c r="BH195" t="s">
        <v>74</v>
      </c>
      <c r="BI195">
        <v>5</v>
      </c>
      <c r="BJ195" t="s">
        <v>3357</v>
      </c>
      <c r="BK195" t="s">
        <v>98</v>
      </c>
      <c r="BL195" t="s">
        <v>3357</v>
      </c>
      <c r="BM195" t="s">
        <v>3358</v>
      </c>
      <c r="BN195" t="s">
        <v>74</v>
      </c>
      <c r="BO195" t="s">
        <v>577</v>
      </c>
      <c r="BP195" t="s">
        <v>74</v>
      </c>
      <c r="BQ195" t="s">
        <v>74</v>
      </c>
      <c r="BR195" t="s">
        <v>101</v>
      </c>
      <c r="BS195" t="s">
        <v>3359</v>
      </c>
      <c r="BT195" t="str">
        <f>HYPERLINK("https%3A%2F%2Fwww.webofscience.com%2Fwos%2Fwoscc%2Ffull-record%2FWOS:000208053100001","View Full Record in Web of Science")</f>
        <v>View Full Record in Web of Science</v>
      </c>
    </row>
    <row r="196" spans="1:72" x14ac:dyDescent="0.15">
      <c r="A196" t="s">
        <v>72</v>
      </c>
      <c r="B196" t="s">
        <v>3360</v>
      </c>
      <c r="C196" t="s">
        <v>74</v>
      </c>
      <c r="D196" t="s">
        <v>74</v>
      </c>
      <c r="E196" t="s">
        <v>74</v>
      </c>
      <c r="F196" t="s">
        <v>3361</v>
      </c>
      <c r="G196" t="s">
        <v>74</v>
      </c>
      <c r="H196" t="s">
        <v>74</v>
      </c>
      <c r="I196" t="s">
        <v>3362</v>
      </c>
      <c r="J196" t="s">
        <v>3363</v>
      </c>
      <c r="K196" t="s">
        <v>74</v>
      </c>
      <c r="L196" t="s">
        <v>74</v>
      </c>
      <c r="M196" t="s">
        <v>78</v>
      </c>
      <c r="N196" t="s">
        <v>79</v>
      </c>
      <c r="O196" t="s">
        <v>74</v>
      </c>
      <c r="P196" t="s">
        <v>74</v>
      </c>
      <c r="Q196" t="s">
        <v>74</v>
      </c>
      <c r="R196" t="s">
        <v>74</v>
      </c>
      <c r="S196" t="s">
        <v>74</v>
      </c>
      <c r="T196" t="s">
        <v>3364</v>
      </c>
      <c r="U196" t="s">
        <v>74</v>
      </c>
      <c r="V196" t="s">
        <v>3365</v>
      </c>
      <c r="W196" t="s">
        <v>3366</v>
      </c>
      <c r="X196" t="s">
        <v>3367</v>
      </c>
      <c r="Y196" t="s">
        <v>3368</v>
      </c>
      <c r="Z196" t="s">
        <v>3369</v>
      </c>
      <c r="AA196" t="s">
        <v>74</v>
      </c>
      <c r="AB196" t="s">
        <v>3370</v>
      </c>
      <c r="AC196" t="s">
        <v>74</v>
      </c>
      <c r="AD196" t="s">
        <v>74</v>
      </c>
      <c r="AE196" t="s">
        <v>74</v>
      </c>
      <c r="AF196" t="s">
        <v>74</v>
      </c>
      <c r="AG196">
        <v>50</v>
      </c>
      <c r="AH196">
        <v>7</v>
      </c>
      <c r="AI196">
        <v>10</v>
      </c>
      <c r="AJ196">
        <v>0</v>
      </c>
      <c r="AK196">
        <v>7</v>
      </c>
      <c r="AL196" t="s">
        <v>3371</v>
      </c>
      <c r="AM196" t="s">
        <v>1226</v>
      </c>
      <c r="AN196" t="s">
        <v>3372</v>
      </c>
      <c r="AO196" t="s">
        <v>3373</v>
      </c>
      <c r="AP196" t="s">
        <v>74</v>
      </c>
      <c r="AQ196" t="s">
        <v>74</v>
      </c>
      <c r="AR196" t="s">
        <v>3374</v>
      </c>
      <c r="AS196" t="s">
        <v>3375</v>
      </c>
      <c r="AT196" t="s">
        <v>3318</v>
      </c>
      <c r="AU196">
        <v>2007</v>
      </c>
      <c r="AV196">
        <v>38</v>
      </c>
      <c r="AW196">
        <v>2</v>
      </c>
      <c r="AX196" t="s">
        <v>74</v>
      </c>
      <c r="AY196" t="s">
        <v>74</v>
      </c>
      <c r="AZ196" t="s">
        <v>74</v>
      </c>
      <c r="BA196" t="s">
        <v>74</v>
      </c>
      <c r="BB196">
        <v>215</v>
      </c>
      <c r="BC196">
        <v>231</v>
      </c>
      <c r="BD196" t="s">
        <v>74</v>
      </c>
      <c r="BE196" t="s">
        <v>3376</v>
      </c>
      <c r="BF196" t="str">
        <f>HYPERLINK("http://dx.doi.org/10.1080/00049180701422407","http://dx.doi.org/10.1080/00049180701422407")</f>
        <v>http://dx.doi.org/10.1080/00049180701422407</v>
      </c>
      <c r="BG196" t="s">
        <v>74</v>
      </c>
      <c r="BH196" t="s">
        <v>74</v>
      </c>
      <c r="BI196">
        <v>17</v>
      </c>
      <c r="BJ196" t="s">
        <v>3377</v>
      </c>
      <c r="BK196" t="s">
        <v>2746</v>
      </c>
      <c r="BL196" t="s">
        <v>3377</v>
      </c>
      <c r="BM196" t="s">
        <v>3378</v>
      </c>
      <c r="BN196" t="s">
        <v>74</v>
      </c>
      <c r="BO196" t="s">
        <v>74</v>
      </c>
      <c r="BP196" t="s">
        <v>74</v>
      </c>
      <c r="BQ196" t="s">
        <v>74</v>
      </c>
      <c r="BR196" t="s">
        <v>101</v>
      </c>
      <c r="BS196" t="s">
        <v>3379</v>
      </c>
      <c r="BT196" t="str">
        <f>HYPERLINK("https%3A%2F%2Fwww.webofscience.com%2Fwos%2Fwoscc%2Ffull-record%2FWOS:000248590800005","View Full Record in Web of Science")</f>
        <v>View Full Record in Web of Science</v>
      </c>
    </row>
    <row r="197" spans="1:72" x14ac:dyDescent="0.15">
      <c r="A197" t="s">
        <v>72</v>
      </c>
      <c r="B197" t="s">
        <v>3380</v>
      </c>
      <c r="C197" t="s">
        <v>74</v>
      </c>
      <c r="D197" t="s">
        <v>74</v>
      </c>
      <c r="E197" t="s">
        <v>74</v>
      </c>
      <c r="F197" t="s">
        <v>3381</v>
      </c>
      <c r="G197" t="s">
        <v>74</v>
      </c>
      <c r="H197" t="s">
        <v>74</v>
      </c>
      <c r="I197" t="s">
        <v>3382</v>
      </c>
      <c r="J197" t="s">
        <v>3383</v>
      </c>
      <c r="K197" t="s">
        <v>74</v>
      </c>
      <c r="L197" t="s">
        <v>74</v>
      </c>
      <c r="M197" t="s">
        <v>78</v>
      </c>
      <c r="N197" t="s">
        <v>79</v>
      </c>
      <c r="O197" t="s">
        <v>74</v>
      </c>
      <c r="P197" t="s">
        <v>74</v>
      </c>
      <c r="Q197" t="s">
        <v>74</v>
      </c>
      <c r="R197" t="s">
        <v>74</v>
      </c>
      <c r="S197" t="s">
        <v>74</v>
      </c>
      <c r="T197" t="s">
        <v>3384</v>
      </c>
      <c r="U197" t="s">
        <v>3385</v>
      </c>
      <c r="V197" t="s">
        <v>3386</v>
      </c>
      <c r="W197" t="s">
        <v>3387</v>
      </c>
      <c r="X197" t="s">
        <v>3388</v>
      </c>
      <c r="Y197" t="s">
        <v>3389</v>
      </c>
      <c r="Z197" t="s">
        <v>3390</v>
      </c>
      <c r="AA197" t="s">
        <v>3391</v>
      </c>
      <c r="AB197" t="s">
        <v>3392</v>
      </c>
      <c r="AC197" t="s">
        <v>74</v>
      </c>
      <c r="AD197" t="s">
        <v>74</v>
      </c>
      <c r="AE197" t="s">
        <v>74</v>
      </c>
      <c r="AF197" t="s">
        <v>74</v>
      </c>
      <c r="AG197">
        <v>40</v>
      </c>
      <c r="AH197">
        <v>18</v>
      </c>
      <c r="AI197">
        <v>20</v>
      </c>
      <c r="AJ197">
        <v>0</v>
      </c>
      <c r="AK197">
        <v>18</v>
      </c>
      <c r="AL197" t="s">
        <v>1503</v>
      </c>
      <c r="AM197" t="s">
        <v>1504</v>
      </c>
      <c r="AN197" t="s">
        <v>1505</v>
      </c>
      <c r="AO197" t="s">
        <v>3393</v>
      </c>
      <c r="AP197" t="s">
        <v>74</v>
      </c>
      <c r="AQ197" t="s">
        <v>74</v>
      </c>
      <c r="AR197" t="s">
        <v>3394</v>
      </c>
      <c r="AS197" t="s">
        <v>3395</v>
      </c>
      <c r="AT197" t="s">
        <v>3318</v>
      </c>
      <c r="AU197">
        <v>2007</v>
      </c>
      <c r="AV197">
        <v>35</v>
      </c>
      <c r="AW197">
        <v>7</v>
      </c>
      <c r="AX197" t="s">
        <v>74</v>
      </c>
      <c r="AY197" t="s">
        <v>74</v>
      </c>
      <c r="AZ197" t="s">
        <v>74</v>
      </c>
      <c r="BA197" t="s">
        <v>74</v>
      </c>
      <c r="BB197">
        <v>439</v>
      </c>
      <c r="BC197">
        <v>446</v>
      </c>
      <c r="BD197" t="s">
        <v>74</v>
      </c>
      <c r="BE197" t="s">
        <v>3396</v>
      </c>
      <c r="BF197" t="str">
        <f>HYPERLINK("http://dx.doi.org/10.1016/j.bse.2006.10.020","http://dx.doi.org/10.1016/j.bse.2006.10.020")</f>
        <v>http://dx.doi.org/10.1016/j.bse.2006.10.020</v>
      </c>
      <c r="BG197" t="s">
        <v>74</v>
      </c>
      <c r="BH197" t="s">
        <v>74</v>
      </c>
      <c r="BI197">
        <v>8</v>
      </c>
      <c r="BJ197" t="s">
        <v>2335</v>
      </c>
      <c r="BK197" t="s">
        <v>98</v>
      </c>
      <c r="BL197" t="s">
        <v>2336</v>
      </c>
      <c r="BM197" t="s">
        <v>3397</v>
      </c>
      <c r="BN197" t="s">
        <v>74</v>
      </c>
      <c r="BO197" t="s">
        <v>74</v>
      </c>
      <c r="BP197" t="s">
        <v>74</v>
      </c>
      <c r="BQ197" t="s">
        <v>74</v>
      </c>
      <c r="BR197" t="s">
        <v>101</v>
      </c>
      <c r="BS197" t="s">
        <v>3398</v>
      </c>
      <c r="BT197" t="str">
        <f>HYPERLINK("https%3A%2F%2Fwww.webofscience.com%2Fwos%2Fwoscc%2Ffull-record%2FWOS:000247650100006","View Full Record in Web of Science")</f>
        <v>View Full Record in Web of Science</v>
      </c>
    </row>
    <row r="198" spans="1:72" x14ac:dyDescent="0.15">
      <c r="A198" t="s">
        <v>72</v>
      </c>
      <c r="B198" t="s">
        <v>3399</v>
      </c>
      <c r="C198" t="s">
        <v>74</v>
      </c>
      <c r="D198" t="s">
        <v>74</v>
      </c>
      <c r="E198" t="s">
        <v>74</v>
      </c>
      <c r="F198" t="s">
        <v>3400</v>
      </c>
      <c r="G198" t="s">
        <v>74</v>
      </c>
      <c r="H198" t="s">
        <v>74</v>
      </c>
      <c r="I198" t="s">
        <v>3401</v>
      </c>
      <c r="J198" t="s">
        <v>3402</v>
      </c>
      <c r="K198" t="s">
        <v>74</v>
      </c>
      <c r="L198" t="s">
        <v>74</v>
      </c>
      <c r="M198" t="s">
        <v>78</v>
      </c>
      <c r="N198" t="s">
        <v>79</v>
      </c>
      <c r="O198" t="s">
        <v>74</v>
      </c>
      <c r="P198" t="s">
        <v>74</v>
      </c>
      <c r="Q198" t="s">
        <v>74</v>
      </c>
      <c r="R198" t="s">
        <v>74</v>
      </c>
      <c r="S198" t="s">
        <v>74</v>
      </c>
      <c r="T198" t="s">
        <v>3403</v>
      </c>
      <c r="U198" t="s">
        <v>3404</v>
      </c>
      <c r="V198" t="s">
        <v>3405</v>
      </c>
      <c r="W198" t="s">
        <v>3406</v>
      </c>
      <c r="X198" t="s">
        <v>3407</v>
      </c>
      <c r="Y198" t="s">
        <v>3408</v>
      </c>
      <c r="Z198" t="s">
        <v>3409</v>
      </c>
      <c r="AA198" t="s">
        <v>3410</v>
      </c>
      <c r="AB198" t="s">
        <v>3411</v>
      </c>
      <c r="AC198" t="s">
        <v>74</v>
      </c>
      <c r="AD198" t="s">
        <v>74</v>
      </c>
      <c r="AE198" t="s">
        <v>74</v>
      </c>
      <c r="AF198" t="s">
        <v>74</v>
      </c>
      <c r="AG198">
        <v>62</v>
      </c>
      <c r="AH198">
        <v>69</v>
      </c>
      <c r="AI198">
        <v>78</v>
      </c>
      <c r="AJ198">
        <v>0</v>
      </c>
      <c r="AK198">
        <v>25</v>
      </c>
      <c r="AL198" t="s">
        <v>2740</v>
      </c>
      <c r="AM198" t="s">
        <v>1504</v>
      </c>
      <c r="AN198" t="s">
        <v>2741</v>
      </c>
      <c r="AO198" t="s">
        <v>3412</v>
      </c>
      <c r="AP198" t="s">
        <v>74</v>
      </c>
      <c r="AQ198" t="s">
        <v>74</v>
      </c>
      <c r="AR198" t="s">
        <v>3413</v>
      </c>
      <c r="AS198" t="s">
        <v>3414</v>
      </c>
      <c r="AT198" t="s">
        <v>3318</v>
      </c>
      <c r="AU198">
        <v>2007</v>
      </c>
      <c r="AV198">
        <v>137</v>
      </c>
      <c r="AW198">
        <v>3</v>
      </c>
      <c r="AX198" t="s">
        <v>74</v>
      </c>
      <c r="AY198" t="s">
        <v>74</v>
      </c>
      <c r="AZ198" t="s">
        <v>74</v>
      </c>
      <c r="BA198" t="s">
        <v>74</v>
      </c>
      <c r="BB198">
        <v>319</v>
      </c>
      <c r="BC198">
        <v>333</v>
      </c>
      <c r="BD198" t="s">
        <v>74</v>
      </c>
      <c r="BE198" t="s">
        <v>3415</v>
      </c>
      <c r="BF198" t="str">
        <f>HYPERLINK("http://dx.doi.org/10.1016/j.biocon.2007.02.012","http://dx.doi.org/10.1016/j.biocon.2007.02.012")</f>
        <v>http://dx.doi.org/10.1016/j.biocon.2007.02.012</v>
      </c>
      <c r="BG198" t="s">
        <v>74</v>
      </c>
      <c r="BH198" t="s">
        <v>74</v>
      </c>
      <c r="BI198">
        <v>15</v>
      </c>
      <c r="BJ198" t="s">
        <v>3416</v>
      </c>
      <c r="BK198" t="s">
        <v>98</v>
      </c>
      <c r="BL198" t="s">
        <v>99</v>
      </c>
      <c r="BM198" t="s">
        <v>3417</v>
      </c>
      <c r="BN198" t="s">
        <v>74</v>
      </c>
      <c r="BO198" t="s">
        <v>74</v>
      </c>
      <c r="BP198" t="s">
        <v>74</v>
      </c>
      <c r="BQ198" t="s">
        <v>74</v>
      </c>
      <c r="BR198" t="s">
        <v>101</v>
      </c>
      <c r="BS198" t="s">
        <v>3418</v>
      </c>
      <c r="BT198" t="str">
        <f>HYPERLINK("https%3A%2F%2Fwww.webofscience.com%2Fwos%2Fwoscc%2Ffull-record%2FWOS:000247775600001","View Full Record in Web of Science")</f>
        <v>View Full Record in Web of Science</v>
      </c>
    </row>
    <row r="199" spans="1:72" x14ac:dyDescent="0.15">
      <c r="A199" t="s">
        <v>72</v>
      </c>
      <c r="B199" t="s">
        <v>3419</v>
      </c>
      <c r="C199" t="s">
        <v>74</v>
      </c>
      <c r="D199" t="s">
        <v>74</v>
      </c>
      <c r="E199" t="s">
        <v>74</v>
      </c>
      <c r="F199" t="s">
        <v>3420</v>
      </c>
      <c r="G199" t="s">
        <v>74</v>
      </c>
      <c r="H199" t="s">
        <v>74</v>
      </c>
      <c r="I199" t="s">
        <v>3421</v>
      </c>
      <c r="J199" t="s">
        <v>3422</v>
      </c>
      <c r="K199" t="s">
        <v>74</v>
      </c>
      <c r="L199" t="s">
        <v>74</v>
      </c>
      <c r="M199" t="s">
        <v>78</v>
      </c>
      <c r="N199" t="s">
        <v>79</v>
      </c>
      <c r="O199" t="s">
        <v>74</v>
      </c>
      <c r="P199" t="s">
        <v>74</v>
      </c>
      <c r="Q199" t="s">
        <v>74</v>
      </c>
      <c r="R199" t="s">
        <v>74</v>
      </c>
      <c r="S199" t="s">
        <v>74</v>
      </c>
      <c r="T199" t="s">
        <v>74</v>
      </c>
      <c r="U199" t="s">
        <v>3423</v>
      </c>
      <c r="V199" t="s">
        <v>3424</v>
      </c>
      <c r="W199" t="s">
        <v>3425</v>
      </c>
      <c r="X199" t="s">
        <v>3426</v>
      </c>
      <c r="Y199" t="s">
        <v>3427</v>
      </c>
      <c r="Z199" t="s">
        <v>74</v>
      </c>
      <c r="AA199" t="s">
        <v>74</v>
      </c>
      <c r="AB199" t="s">
        <v>74</v>
      </c>
      <c r="AC199" t="s">
        <v>74</v>
      </c>
      <c r="AD199" t="s">
        <v>74</v>
      </c>
      <c r="AE199" t="s">
        <v>74</v>
      </c>
      <c r="AF199" t="s">
        <v>74</v>
      </c>
      <c r="AG199">
        <v>82</v>
      </c>
      <c r="AH199">
        <v>41</v>
      </c>
      <c r="AI199">
        <v>47</v>
      </c>
      <c r="AJ199">
        <v>0</v>
      </c>
      <c r="AK199">
        <v>6</v>
      </c>
      <c r="AL199" t="s">
        <v>1592</v>
      </c>
      <c r="AM199" t="s">
        <v>1593</v>
      </c>
      <c r="AN199" t="s">
        <v>1594</v>
      </c>
      <c r="AO199" t="s">
        <v>3428</v>
      </c>
      <c r="AP199" t="s">
        <v>3429</v>
      </c>
      <c r="AQ199" t="s">
        <v>74</v>
      </c>
      <c r="AR199" t="s">
        <v>3430</v>
      </c>
      <c r="AS199" t="s">
        <v>3431</v>
      </c>
      <c r="AT199" t="s">
        <v>3355</v>
      </c>
      <c r="AU199">
        <v>2007</v>
      </c>
      <c r="AV199">
        <v>73</v>
      </c>
      <c r="AW199">
        <v>3</v>
      </c>
      <c r="AX199" t="s">
        <v>74</v>
      </c>
      <c r="AY199" t="s">
        <v>74</v>
      </c>
      <c r="AZ199" t="s">
        <v>74</v>
      </c>
      <c r="BA199" t="s">
        <v>74</v>
      </c>
      <c r="BB199">
        <v>235</v>
      </c>
      <c r="BC199">
        <v>266</v>
      </c>
      <c r="BD199" t="s">
        <v>74</v>
      </c>
      <c r="BE199" t="s">
        <v>3432</v>
      </c>
      <c r="BF199" t="str">
        <f>HYPERLINK("http://dx.doi.org/10.1663/0006-8101(2007)73[235:ROTPMR]2.0.CO;2","http://dx.doi.org/10.1663/0006-8101(2007)73[235:ROTPMR]2.0.CO;2")</f>
        <v>http://dx.doi.org/10.1663/0006-8101(2007)73[235:ROTPMR]2.0.CO;2</v>
      </c>
      <c r="BG199" t="s">
        <v>74</v>
      </c>
      <c r="BH199" t="s">
        <v>74</v>
      </c>
      <c r="BI199">
        <v>32</v>
      </c>
      <c r="BJ199" t="s">
        <v>3433</v>
      </c>
      <c r="BK199" t="s">
        <v>98</v>
      </c>
      <c r="BL199" t="s">
        <v>3433</v>
      </c>
      <c r="BM199" t="s">
        <v>3434</v>
      </c>
      <c r="BN199" t="s">
        <v>74</v>
      </c>
      <c r="BO199" t="s">
        <v>74</v>
      </c>
      <c r="BP199" t="s">
        <v>74</v>
      </c>
      <c r="BQ199" t="s">
        <v>74</v>
      </c>
      <c r="BR199" t="s">
        <v>101</v>
      </c>
      <c r="BS199" t="s">
        <v>3435</v>
      </c>
      <c r="BT199" t="str">
        <f>HYPERLINK("https%3A%2F%2Fwww.webofscience.com%2Fwos%2Fwoscc%2Ffull-record%2FWOS:000249975200002","View Full Record in Web of Science")</f>
        <v>View Full Record in Web of Science</v>
      </c>
    </row>
    <row r="200" spans="1:72" x14ac:dyDescent="0.15">
      <c r="A200" t="s">
        <v>72</v>
      </c>
      <c r="B200" t="s">
        <v>3436</v>
      </c>
      <c r="C200" t="s">
        <v>74</v>
      </c>
      <c r="D200" t="s">
        <v>74</v>
      </c>
      <c r="E200" t="s">
        <v>74</v>
      </c>
      <c r="F200" t="s">
        <v>3437</v>
      </c>
      <c r="G200" t="s">
        <v>74</v>
      </c>
      <c r="H200" t="s">
        <v>74</v>
      </c>
      <c r="I200" t="s">
        <v>3438</v>
      </c>
      <c r="J200" t="s">
        <v>1629</v>
      </c>
      <c r="K200" t="s">
        <v>74</v>
      </c>
      <c r="L200" t="s">
        <v>74</v>
      </c>
      <c r="M200" t="s">
        <v>78</v>
      </c>
      <c r="N200" t="s">
        <v>248</v>
      </c>
      <c r="O200" t="s">
        <v>74</v>
      </c>
      <c r="P200" t="s">
        <v>74</v>
      </c>
      <c r="Q200" t="s">
        <v>74</v>
      </c>
      <c r="R200" t="s">
        <v>74</v>
      </c>
      <c r="S200" t="s">
        <v>74</v>
      </c>
      <c r="T200" t="s">
        <v>3439</v>
      </c>
      <c r="U200" t="s">
        <v>3440</v>
      </c>
      <c r="V200" t="s">
        <v>3441</v>
      </c>
      <c r="W200" t="s">
        <v>3442</v>
      </c>
      <c r="X200" t="s">
        <v>3443</v>
      </c>
      <c r="Y200" t="s">
        <v>3444</v>
      </c>
      <c r="Z200" t="s">
        <v>3445</v>
      </c>
      <c r="AA200" t="s">
        <v>3446</v>
      </c>
      <c r="AB200" t="s">
        <v>3447</v>
      </c>
      <c r="AC200" t="s">
        <v>74</v>
      </c>
      <c r="AD200" t="s">
        <v>74</v>
      </c>
      <c r="AE200" t="s">
        <v>74</v>
      </c>
      <c r="AF200" t="s">
        <v>74</v>
      </c>
      <c r="AG200">
        <v>66</v>
      </c>
      <c r="AH200">
        <v>53</v>
      </c>
      <c r="AI200">
        <v>64</v>
      </c>
      <c r="AJ200">
        <v>1</v>
      </c>
      <c r="AK200">
        <v>80</v>
      </c>
      <c r="AL200" t="s">
        <v>1639</v>
      </c>
      <c r="AM200" t="s">
        <v>1593</v>
      </c>
      <c r="AN200" t="s">
        <v>3448</v>
      </c>
      <c r="AO200" t="s">
        <v>1641</v>
      </c>
      <c r="AP200" t="s">
        <v>3449</v>
      </c>
      <c r="AQ200" t="s">
        <v>74</v>
      </c>
      <c r="AR200" t="s">
        <v>1642</v>
      </c>
      <c r="AS200" t="s">
        <v>1643</v>
      </c>
      <c r="AT200" t="s">
        <v>3318</v>
      </c>
      <c r="AU200">
        <v>2007</v>
      </c>
      <c r="AV200">
        <v>147</v>
      </c>
      <c r="AW200">
        <v>3</v>
      </c>
      <c r="AX200" t="s">
        <v>74</v>
      </c>
      <c r="AY200" t="s">
        <v>74</v>
      </c>
      <c r="AZ200" t="s">
        <v>74</v>
      </c>
      <c r="BA200" t="s">
        <v>74</v>
      </c>
      <c r="BB200">
        <v>799</v>
      </c>
      <c r="BC200">
        <v>807</v>
      </c>
      <c r="BD200" t="s">
        <v>74</v>
      </c>
      <c r="BE200" t="s">
        <v>3450</v>
      </c>
      <c r="BF200" t="str">
        <f>HYPERLINK("http://dx.doi.org/10.1016/j.cbpa.2006.09.028","http://dx.doi.org/10.1016/j.cbpa.2006.09.028")</f>
        <v>http://dx.doi.org/10.1016/j.cbpa.2006.09.028</v>
      </c>
      <c r="BG200" t="s">
        <v>74</v>
      </c>
      <c r="BH200" t="s">
        <v>74</v>
      </c>
      <c r="BI200">
        <v>9</v>
      </c>
      <c r="BJ200" t="s">
        <v>1645</v>
      </c>
      <c r="BK200" t="s">
        <v>98</v>
      </c>
      <c r="BL200" t="s">
        <v>1645</v>
      </c>
      <c r="BM200" t="s">
        <v>3451</v>
      </c>
      <c r="BN200">
        <v>17293146</v>
      </c>
      <c r="BO200" t="s">
        <v>74</v>
      </c>
      <c r="BP200" t="s">
        <v>74</v>
      </c>
      <c r="BQ200" t="s">
        <v>74</v>
      </c>
      <c r="BR200" t="s">
        <v>101</v>
      </c>
      <c r="BS200" t="s">
        <v>3452</v>
      </c>
      <c r="BT200" t="str">
        <f>HYPERLINK("https%3A%2F%2Fwww.webofscience.com%2Fwos%2Fwoscc%2Ffull-record%2FWOS:000247360500024","View Full Record in Web of Science")</f>
        <v>View Full Record in Web of Science</v>
      </c>
    </row>
    <row r="201" spans="1:72" x14ac:dyDescent="0.15">
      <c r="A201" t="s">
        <v>72</v>
      </c>
      <c r="B201" t="s">
        <v>3453</v>
      </c>
      <c r="C201" t="s">
        <v>74</v>
      </c>
      <c r="D201" t="s">
        <v>74</v>
      </c>
      <c r="E201" t="s">
        <v>74</v>
      </c>
      <c r="F201" t="s">
        <v>3454</v>
      </c>
      <c r="G201" t="s">
        <v>74</v>
      </c>
      <c r="H201" t="s">
        <v>74</v>
      </c>
      <c r="I201" t="s">
        <v>3455</v>
      </c>
      <c r="J201" t="s">
        <v>3456</v>
      </c>
      <c r="K201" t="s">
        <v>74</v>
      </c>
      <c r="L201" t="s">
        <v>74</v>
      </c>
      <c r="M201" t="s">
        <v>78</v>
      </c>
      <c r="N201" t="s">
        <v>79</v>
      </c>
      <c r="O201" t="s">
        <v>74</v>
      </c>
      <c r="P201" t="s">
        <v>74</v>
      </c>
      <c r="Q201" t="s">
        <v>74</v>
      </c>
      <c r="R201" t="s">
        <v>74</v>
      </c>
      <c r="S201" t="s">
        <v>74</v>
      </c>
      <c r="T201" t="s">
        <v>3457</v>
      </c>
      <c r="U201" t="s">
        <v>3458</v>
      </c>
      <c r="V201" t="s">
        <v>3459</v>
      </c>
      <c r="W201" t="s">
        <v>3460</v>
      </c>
      <c r="X201" t="s">
        <v>3461</v>
      </c>
      <c r="Y201" t="s">
        <v>3462</v>
      </c>
      <c r="Z201" t="s">
        <v>3463</v>
      </c>
      <c r="AA201" t="s">
        <v>3464</v>
      </c>
      <c r="AB201" t="s">
        <v>3465</v>
      </c>
      <c r="AC201" t="s">
        <v>74</v>
      </c>
      <c r="AD201" t="s">
        <v>74</v>
      </c>
      <c r="AE201" t="s">
        <v>74</v>
      </c>
      <c r="AF201" t="s">
        <v>74</v>
      </c>
      <c r="AG201">
        <v>26</v>
      </c>
      <c r="AH201">
        <v>21</v>
      </c>
      <c r="AI201">
        <v>23</v>
      </c>
      <c r="AJ201">
        <v>0</v>
      </c>
      <c r="AK201">
        <v>11</v>
      </c>
      <c r="AL201" t="s">
        <v>1639</v>
      </c>
      <c r="AM201" t="s">
        <v>1593</v>
      </c>
      <c r="AN201" t="s">
        <v>1640</v>
      </c>
      <c r="AO201" t="s">
        <v>3466</v>
      </c>
      <c r="AP201" t="s">
        <v>74</v>
      </c>
      <c r="AQ201" t="s">
        <v>74</v>
      </c>
      <c r="AR201" t="s">
        <v>3467</v>
      </c>
      <c r="AS201" t="s">
        <v>3468</v>
      </c>
      <c r="AT201" t="s">
        <v>3318</v>
      </c>
      <c r="AU201">
        <v>2007</v>
      </c>
      <c r="AV201">
        <v>147</v>
      </c>
      <c r="AW201">
        <v>3</v>
      </c>
      <c r="AX201" t="s">
        <v>74</v>
      </c>
      <c r="AY201" t="s">
        <v>74</v>
      </c>
      <c r="AZ201" t="s">
        <v>74</v>
      </c>
      <c r="BA201" t="s">
        <v>74</v>
      </c>
      <c r="BB201">
        <v>475</v>
      </c>
      <c r="BC201">
        <v>481</v>
      </c>
      <c r="BD201" t="s">
        <v>74</v>
      </c>
      <c r="BE201" t="s">
        <v>3469</v>
      </c>
      <c r="BF201" t="str">
        <f>HYPERLINK("http://dx.doi.org/10.1016/j.cbpb.2007.02.014","http://dx.doi.org/10.1016/j.cbpb.2007.02.014")</f>
        <v>http://dx.doi.org/10.1016/j.cbpb.2007.02.014</v>
      </c>
      <c r="BG201" t="s">
        <v>74</v>
      </c>
      <c r="BH201" t="s">
        <v>74</v>
      </c>
      <c r="BI201">
        <v>7</v>
      </c>
      <c r="BJ201" t="s">
        <v>3470</v>
      </c>
      <c r="BK201" t="s">
        <v>98</v>
      </c>
      <c r="BL201" t="s">
        <v>3470</v>
      </c>
      <c r="BM201" t="s">
        <v>3471</v>
      </c>
      <c r="BN201">
        <v>17400497</v>
      </c>
      <c r="BO201" t="s">
        <v>74</v>
      </c>
      <c r="BP201" t="s">
        <v>74</v>
      </c>
      <c r="BQ201" t="s">
        <v>74</v>
      </c>
      <c r="BR201" t="s">
        <v>101</v>
      </c>
      <c r="BS201" t="s">
        <v>3472</v>
      </c>
      <c r="BT201" t="str">
        <f>HYPERLINK("https%3A%2F%2Fwww.webofscience.com%2Fwos%2Fwoscc%2Ffull-record%2FWOS:000247555900015","View Full Record in Web of Science")</f>
        <v>View Full Record in Web of Science</v>
      </c>
    </row>
    <row r="202" spans="1:72" x14ac:dyDescent="0.15">
      <c r="A202" t="s">
        <v>72</v>
      </c>
      <c r="B202" t="s">
        <v>3473</v>
      </c>
      <c r="C202" t="s">
        <v>74</v>
      </c>
      <c r="D202" t="s">
        <v>74</v>
      </c>
      <c r="E202" t="s">
        <v>74</v>
      </c>
      <c r="F202" t="s">
        <v>3474</v>
      </c>
      <c r="G202" t="s">
        <v>74</v>
      </c>
      <c r="H202" t="s">
        <v>74</v>
      </c>
      <c r="I202" t="s">
        <v>3475</v>
      </c>
      <c r="J202" t="s">
        <v>3476</v>
      </c>
      <c r="K202" t="s">
        <v>74</v>
      </c>
      <c r="L202" t="s">
        <v>74</v>
      </c>
      <c r="M202" t="s">
        <v>78</v>
      </c>
      <c r="N202" t="s">
        <v>79</v>
      </c>
      <c r="O202" t="s">
        <v>74</v>
      </c>
      <c r="P202" t="s">
        <v>74</v>
      </c>
      <c r="Q202" t="s">
        <v>74</v>
      </c>
      <c r="R202" t="s">
        <v>74</v>
      </c>
      <c r="S202" t="s">
        <v>74</v>
      </c>
      <c r="T202" t="s">
        <v>3477</v>
      </c>
      <c r="U202" t="s">
        <v>3478</v>
      </c>
      <c r="V202" t="s">
        <v>3479</v>
      </c>
      <c r="W202" t="s">
        <v>3480</v>
      </c>
      <c r="X202" t="s">
        <v>3481</v>
      </c>
      <c r="Y202" t="s">
        <v>3482</v>
      </c>
      <c r="Z202" t="s">
        <v>3483</v>
      </c>
      <c r="AA202" t="s">
        <v>74</v>
      </c>
      <c r="AB202" t="s">
        <v>3484</v>
      </c>
      <c r="AC202" t="s">
        <v>74</v>
      </c>
      <c r="AD202" t="s">
        <v>74</v>
      </c>
      <c r="AE202" t="s">
        <v>74</v>
      </c>
      <c r="AF202" t="s">
        <v>74</v>
      </c>
      <c r="AG202">
        <v>47</v>
      </c>
      <c r="AH202">
        <v>34</v>
      </c>
      <c r="AI202">
        <v>35</v>
      </c>
      <c r="AJ202">
        <v>0</v>
      </c>
      <c r="AK202">
        <v>6</v>
      </c>
      <c r="AL202" t="s">
        <v>1639</v>
      </c>
      <c r="AM202" t="s">
        <v>1593</v>
      </c>
      <c r="AN202" t="s">
        <v>3448</v>
      </c>
      <c r="AO202" t="s">
        <v>3485</v>
      </c>
      <c r="AP202" t="s">
        <v>3486</v>
      </c>
      <c r="AQ202" t="s">
        <v>74</v>
      </c>
      <c r="AR202" t="s">
        <v>3487</v>
      </c>
      <c r="AS202" t="s">
        <v>3488</v>
      </c>
      <c r="AT202" t="s">
        <v>3489</v>
      </c>
      <c r="AU202">
        <v>2007</v>
      </c>
      <c r="AV202">
        <v>146</v>
      </c>
      <c r="AW202" t="s">
        <v>280</v>
      </c>
      <c r="AX202" t="s">
        <v>74</v>
      </c>
      <c r="AY202" t="s">
        <v>74</v>
      </c>
      <c r="AZ202" t="s">
        <v>74</v>
      </c>
      <c r="BA202" t="s">
        <v>74</v>
      </c>
      <c r="BB202">
        <v>118</v>
      </c>
      <c r="BC202">
        <v>123</v>
      </c>
      <c r="BD202" t="s">
        <v>74</v>
      </c>
      <c r="BE202" t="s">
        <v>3490</v>
      </c>
      <c r="BF202" t="str">
        <f>HYPERLINK("http://dx.doi.org/10.1016/j.cbpc.2006.11.004","http://dx.doi.org/10.1016/j.cbpc.2006.11.004")</f>
        <v>http://dx.doi.org/10.1016/j.cbpc.2006.11.004</v>
      </c>
      <c r="BG202" t="s">
        <v>74</v>
      </c>
      <c r="BH202" t="s">
        <v>74</v>
      </c>
      <c r="BI202">
        <v>6</v>
      </c>
      <c r="BJ202" t="s">
        <v>3491</v>
      </c>
      <c r="BK202" t="s">
        <v>98</v>
      </c>
      <c r="BL202" t="s">
        <v>3491</v>
      </c>
      <c r="BM202" t="s">
        <v>3492</v>
      </c>
      <c r="BN202">
        <v>17196886</v>
      </c>
      <c r="BO202" t="s">
        <v>74</v>
      </c>
      <c r="BP202" t="s">
        <v>74</v>
      </c>
      <c r="BQ202" t="s">
        <v>74</v>
      </c>
      <c r="BR202" t="s">
        <v>101</v>
      </c>
      <c r="BS202" t="s">
        <v>3493</v>
      </c>
      <c r="BT202" t="str">
        <f>HYPERLINK("https%3A%2F%2Fwww.webofscience.com%2Fwos%2Fwoscc%2Ffull-record%2FWOS:000248881200009","View Full Record in Web of Science")</f>
        <v>View Full Record in Web of Science</v>
      </c>
    </row>
    <row r="203" spans="1:72" x14ac:dyDescent="0.15">
      <c r="A203" t="s">
        <v>72</v>
      </c>
      <c r="B203" t="s">
        <v>3494</v>
      </c>
      <c r="C203" t="s">
        <v>74</v>
      </c>
      <c r="D203" t="s">
        <v>74</v>
      </c>
      <c r="E203" t="s">
        <v>74</v>
      </c>
      <c r="F203" t="s">
        <v>3495</v>
      </c>
      <c r="G203" t="s">
        <v>74</v>
      </c>
      <c r="H203" t="s">
        <v>74</v>
      </c>
      <c r="I203" t="s">
        <v>3496</v>
      </c>
      <c r="J203" t="s">
        <v>1651</v>
      </c>
      <c r="K203" t="s">
        <v>74</v>
      </c>
      <c r="L203" t="s">
        <v>74</v>
      </c>
      <c r="M203" t="s">
        <v>78</v>
      </c>
      <c r="N203" t="s">
        <v>79</v>
      </c>
      <c r="O203" t="s">
        <v>74</v>
      </c>
      <c r="P203" t="s">
        <v>74</v>
      </c>
      <c r="Q203" t="s">
        <v>74</v>
      </c>
      <c r="R203" t="s">
        <v>74</v>
      </c>
      <c r="S203" t="s">
        <v>74</v>
      </c>
      <c r="T203" t="s">
        <v>3497</v>
      </c>
      <c r="U203" t="s">
        <v>3498</v>
      </c>
      <c r="V203" t="s">
        <v>3499</v>
      </c>
      <c r="W203" t="s">
        <v>3500</v>
      </c>
      <c r="X203" t="s">
        <v>3501</v>
      </c>
      <c r="Y203" t="s">
        <v>3502</v>
      </c>
      <c r="Z203" t="s">
        <v>3503</v>
      </c>
      <c r="AA203" t="s">
        <v>74</v>
      </c>
      <c r="AB203" t="s">
        <v>3504</v>
      </c>
      <c r="AC203" t="s">
        <v>74</v>
      </c>
      <c r="AD203" t="s">
        <v>74</v>
      </c>
      <c r="AE203" t="s">
        <v>74</v>
      </c>
      <c r="AF203" t="s">
        <v>74</v>
      </c>
      <c r="AG203">
        <v>73</v>
      </c>
      <c r="AH203">
        <v>50</v>
      </c>
      <c r="AI203">
        <v>57</v>
      </c>
      <c r="AJ203">
        <v>0</v>
      </c>
      <c r="AK203">
        <v>23</v>
      </c>
      <c r="AL203" t="s">
        <v>1503</v>
      </c>
      <c r="AM203" t="s">
        <v>1504</v>
      </c>
      <c r="AN203" t="s">
        <v>1505</v>
      </c>
      <c r="AO203" t="s">
        <v>1661</v>
      </c>
      <c r="AP203" t="s">
        <v>1662</v>
      </c>
      <c r="AQ203" t="s">
        <v>74</v>
      </c>
      <c r="AR203" t="s">
        <v>1663</v>
      </c>
      <c r="AS203" t="s">
        <v>1664</v>
      </c>
      <c r="AT203" t="s">
        <v>3318</v>
      </c>
      <c r="AU203">
        <v>2007</v>
      </c>
      <c r="AV203">
        <v>54</v>
      </c>
      <c r="AW203">
        <v>7</v>
      </c>
      <c r="AX203" t="s">
        <v>74</v>
      </c>
      <c r="AY203" t="s">
        <v>74</v>
      </c>
      <c r="AZ203" t="s">
        <v>74</v>
      </c>
      <c r="BA203" t="s">
        <v>74</v>
      </c>
      <c r="BB203">
        <v>1025</v>
      </c>
      <c r="BC203">
        <v>1041</v>
      </c>
      <c r="BD203" t="s">
        <v>74</v>
      </c>
      <c r="BE203" t="s">
        <v>3505</v>
      </c>
      <c r="BF203" t="str">
        <f>HYPERLINK("http://dx.doi.org/10.1016/j.dsr.2007.05.003","http://dx.doi.org/10.1016/j.dsr.2007.05.003")</f>
        <v>http://dx.doi.org/10.1016/j.dsr.2007.05.003</v>
      </c>
      <c r="BG203" t="s">
        <v>74</v>
      </c>
      <c r="BH203" t="s">
        <v>74</v>
      </c>
      <c r="BI203">
        <v>17</v>
      </c>
      <c r="BJ203" t="s">
        <v>221</v>
      </c>
      <c r="BK203" t="s">
        <v>98</v>
      </c>
      <c r="BL203" t="s">
        <v>221</v>
      </c>
      <c r="BM203" t="s">
        <v>3506</v>
      </c>
      <c r="BN203" t="s">
        <v>74</v>
      </c>
      <c r="BO203" t="s">
        <v>74</v>
      </c>
      <c r="BP203" t="s">
        <v>74</v>
      </c>
      <c r="BQ203" t="s">
        <v>74</v>
      </c>
      <c r="BR203" t="s">
        <v>101</v>
      </c>
      <c r="BS203" t="s">
        <v>3507</v>
      </c>
      <c r="BT203" t="str">
        <f>HYPERLINK("https%3A%2F%2Fwww.webofscience.com%2Fwos%2Fwoscc%2Ffull-record%2FWOS:000248249400001","View Full Record in Web of Science")</f>
        <v>View Full Record in Web of Science</v>
      </c>
    </row>
    <row r="204" spans="1:72" x14ac:dyDescent="0.15">
      <c r="A204" t="s">
        <v>72</v>
      </c>
      <c r="B204" t="s">
        <v>3508</v>
      </c>
      <c r="C204" t="s">
        <v>74</v>
      </c>
      <c r="D204" t="s">
        <v>74</v>
      </c>
      <c r="E204" t="s">
        <v>74</v>
      </c>
      <c r="F204" t="s">
        <v>3509</v>
      </c>
      <c r="G204" t="s">
        <v>74</v>
      </c>
      <c r="H204" t="s">
        <v>74</v>
      </c>
      <c r="I204" t="s">
        <v>3510</v>
      </c>
      <c r="J204" t="s">
        <v>1651</v>
      </c>
      <c r="K204" t="s">
        <v>74</v>
      </c>
      <c r="L204" t="s">
        <v>74</v>
      </c>
      <c r="M204" t="s">
        <v>78</v>
      </c>
      <c r="N204" t="s">
        <v>79</v>
      </c>
      <c r="O204" t="s">
        <v>74</v>
      </c>
      <c r="P204" t="s">
        <v>74</v>
      </c>
      <c r="Q204" t="s">
        <v>74</v>
      </c>
      <c r="R204" t="s">
        <v>74</v>
      </c>
      <c r="S204" t="s">
        <v>74</v>
      </c>
      <c r="T204" t="s">
        <v>3511</v>
      </c>
      <c r="U204" t="s">
        <v>3512</v>
      </c>
      <c r="V204" t="s">
        <v>3513</v>
      </c>
      <c r="W204" t="s">
        <v>3514</v>
      </c>
      <c r="X204" t="s">
        <v>3515</v>
      </c>
      <c r="Y204" t="s">
        <v>3516</v>
      </c>
      <c r="Z204" t="s">
        <v>3517</v>
      </c>
      <c r="AA204" t="s">
        <v>74</v>
      </c>
      <c r="AB204" t="s">
        <v>74</v>
      </c>
      <c r="AC204" t="s">
        <v>74</v>
      </c>
      <c r="AD204" t="s">
        <v>74</v>
      </c>
      <c r="AE204" t="s">
        <v>74</v>
      </c>
      <c r="AF204" t="s">
        <v>74</v>
      </c>
      <c r="AG204">
        <v>56</v>
      </c>
      <c r="AH204">
        <v>39</v>
      </c>
      <c r="AI204">
        <v>44</v>
      </c>
      <c r="AJ204">
        <v>2</v>
      </c>
      <c r="AK204">
        <v>31</v>
      </c>
      <c r="AL204" t="s">
        <v>1503</v>
      </c>
      <c r="AM204" t="s">
        <v>1504</v>
      </c>
      <c r="AN204" t="s">
        <v>1505</v>
      </c>
      <c r="AO204" t="s">
        <v>1661</v>
      </c>
      <c r="AP204" t="s">
        <v>74</v>
      </c>
      <c r="AQ204" t="s">
        <v>74</v>
      </c>
      <c r="AR204" t="s">
        <v>1663</v>
      </c>
      <c r="AS204" t="s">
        <v>1664</v>
      </c>
      <c r="AT204" t="s">
        <v>3318</v>
      </c>
      <c r="AU204">
        <v>2007</v>
      </c>
      <c r="AV204">
        <v>54</v>
      </c>
      <c r="AW204">
        <v>7</v>
      </c>
      <c r="AX204" t="s">
        <v>74</v>
      </c>
      <c r="AY204" t="s">
        <v>74</v>
      </c>
      <c r="AZ204" t="s">
        <v>74</v>
      </c>
      <c r="BA204" t="s">
        <v>74</v>
      </c>
      <c r="BB204">
        <v>1042</v>
      </c>
      <c r="BC204">
        <v>1069</v>
      </c>
      <c r="BD204" t="s">
        <v>74</v>
      </c>
      <c r="BE204" t="s">
        <v>3518</v>
      </c>
      <c r="BF204" t="str">
        <f>HYPERLINK("http://dx.doi.org/10.1016/j.dsr.2007.04.002","http://dx.doi.org/10.1016/j.dsr.2007.04.002")</f>
        <v>http://dx.doi.org/10.1016/j.dsr.2007.04.002</v>
      </c>
      <c r="BG204" t="s">
        <v>74</v>
      </c>
      <c r="BH204" t="s">
        <v>74</v>
      </c>
      <c r="BI204">
        <v>28</v>
      </c>
      <c r="BJ204" t="s">
        <v>221</v>
      </c>
      <c r="BK204" t="s">
        <v>98</v>
      </c>
      <c r="BL204" t="s">
        <v>221</v>
      </c>
      <c r="BM204" t="s">
        <v>3506</v>
      </c>
      <c r="BN204" t="s">
        <v>74</v>
      </c>
      <c r="BO204" t="s">
        <v>74</v>
      </c>
      <c r="BP204" t="s">
        <v>74</v>
      </c>
      <c r="BQ204" t="s">
        <v>74</v>
      </c>
      <c r="BR204" t="s">
        <v>101</v>
      </c>
      <c r="BS204" t="s">
        <v>3519</v>
      </c>
      <c r="BT204" t="str">
        <f>HYPERLINK("https%3A%2F%2Fwww.webofscience.com%2Fwos%2Fwoscc%2Ffull-record%2FWOS:000248249400002","View Full Record in Web of Science")</f>
        <v>View Full Record in Web of Science</v>
      </c>
    </row>
    <row r="205" spans="1:72" x14ac:dyDescent="0.15">
      <c r="A205" t="s">
        <v>72</v>
      </c>
      <c r="B205" t="s">
        <v>3520</v>
      </c>
      <c r="C205" t="s">
        <v>74</v>
      </c>
      <c r="D205" t="s">
        <v>74</v>
      </c>
      <c r="E205" t="s">
        <v>74</v>
      </c>
      <c r="F205" t="s">
        <v>3521</v>
      </c>
      <c r="G205" t="s">
        <v>74</v>
      </c>
      <c r="H205" t="s">
        <v>74</v>
      </c>
      <c r="I205" t="s">
        <v>3522</v>
      </c>
      <c r="J205" t="s">
        <v>1651</v>
      </c>
      <c r="K205" t="s">
        <v>74</v>
      </c>
      <c r="L205" t="s">
        <v>74</v>
      </c>
      <c r="M205" t="s">
        <v>78</v>
      </c>
      <c r="N205" t="s">
        <v>79</v>
      </c>
      <c r="O205" t="s">
        <v>74</v>
      </c>
      <c r="P205" t="s">
        <v>74</v>
      </c>
      <c r="Q205" t="s">
        <v>74</v>
      </c>
      <c r="R205" t="s">
        <v>74</v>
      </c>
      <c r="S205" t="s">
        <v>74</v>
      </c>
      <c r="T205" t="s">
        <v>3523</v>
      </c>
      <c r="U205" t="s">
        <v>3524</v>
      </c>
      <c r="V205" t="s">
        <v>3525</v>
      </c>
      <c r="W205" t="s">
        <v>3526</v>
      </c>
      <c r="X205" t="s">
        <v>3527</v>
      </c>
      <c r="Y205" t="s">
        <v>3528</v>
      </c>
      <c r="Z205" t="s">
        <v>3529</v>
      </c>
      <c r="AA205" t="s">
        <v>74</v>
      </c>
      <c r="AB205" t="s">
        <v>3530</v>
      </c>
      <c r="AC205" t="s">
        <v>74</v>
      </c>
      <c r="AD205" t="s">
        <v>74</v>
      </c>
      <c r="AE205" t="s">
        <v>74</v>
      </c>
      <c r="AF205" t="s">
        <v>74</v>
      </c>
      <c r="AG205">
        <v>71</v>
      </c>
      <c r="AH205">
        <v>53</v>
      </c>
      <c r="AI205">
        <v>61</v>
      </c>
      <c r="AJ205">
        <v>4</v>
      </c>
      <c r="AK205">
        <v>26</v>
      </c>
      <c r="AL205" t="s">
        <v>1503</v>
      </c>
      <c r="AM205" t="s">
        <v>1504</v>
      </c>
      <c r="AN205" t="s">
        <v>1505</v>
      </c>
      <c r="AO205" t="s">
        <v>1661</v>
      </c>
      <c r="AP205" t="s">
        <v>1662</v>
      </c>
      <c r="AQ205" t="s">
        <v>74</v>
      </c>
      <c r="AR205" t="s">
        <v>1663</v>
      </c>
      <c r="AS205" t="s">
        <v>1664</v>
      </c>
      <c r="AT205" t="s">
        <v>3318</v>
      </c>
      <c r="AU205">
        <v>2007</v>
      </c>
      <c r="AV205">
        <v>54</v>
      </c>
      <c r="AW205">
        <v>7</v>
      </c>
      <c r="AX205" t="s">
        <v>74</v>
      </c>
      <c r="AY205" t="s">
        <v>74</v>
      </c>
      <c r="AZ205" t="s">
        <v>74</v>
      </c>
      <c r="BA205" t="s">
        <v>74</v>
      </c>
      <c r="BB205">
        <v>1070</v>
      </c>
      <c r="BC205">
        <v>1090</v>
      </c>
      <c r="BD205" t="s">
        <v>74</v>
      </c>
      <c r="BE205" t="s">
        <v>3531</v>
      </c>
      <c r="BF205" t="str">
        <f>HYPERLINK("http://dx.doi.org/10.1016/j.dsr.2007.04.005","http://dx.doi.org/10.1016/j.dsr.2007.04.005")</f>
        <v>http://dx.doi.org/10.1016/j.dsr.2007.04.005</v>
      </c>
      <c r="BG205" t="s">
        <v>74</v>
      </c>
      <c r="BH205" t="s">
        <v>74</v>
      </c>
      <c r="BI205">
        <v>21</v>
      </c>
      <c r="BJ205" t="s">
        <v>221</v>
      </c>
      <c r="BK205" t="s">
        <v>98</v>
      </c>
      <c r="BL205" t="s">
        <v>221</v>
      </c>
      <c r="BM205" t="s">
        <v>3506</v>
      </c>
      <c r="BN205" t="s">
        <v>74</v>
      </c>
      <c r="BO205" t="s">
        <v>74</v>
      </c>
      <c r="BP205" t="s">
        <v>74</v>
      </c>
      <c r="BQ205" t="s">
        <v>74</v>
      </c>
      <c r="BR205" t="s">
        <v>101</v>
      </c>
      <c r="BS205" t="s">
        <v>3532</v>
      </c>
      <c r="BT205" t="str">
        <f>HYPERLINK("https%3A%2F%2Fwww.webofscience.com%2Fwos%2Fwoscc%2Ffull-record%2FWOS:000248249400003","View Full Record in Web of Science")</f>
        <v>View Full Record in Web of Science</v>
      </c>
    </row>
    <row r="206" spans="1:72" x14ac:dyDescent="0.15">
      <c r="A206" t="s">
        <v>72</v>
      </c>
      <c r="B206" t="s">
        <v>3533</v>
      </c>
      <c r="C206" t="s">
        <v>74</v>
      </c>
      <c r="D206" t="s">
        <v>74</v>
      </c>
      <c r="E206" t="s">
        <v>74</v>
      </c>
      <c r="F206" t="s">
        <v>3534</v>
      </c>
      <c r="G206" t="s">
        <v>74</v>
      </c>
      <c r="H206" t="s">
        <v>74</v>
      </c>
      <c r="I206" t="s">
        <v>3535</v>
      </c>
      <c r="J206" t="s">
        <v>1651</v>
      </c>
      <c r="K206" t="s">
        <v>74</v>
      </c>
      <c r="L206" t="s">
        <v>74</v>
      </c>
      <c r="M206" t="s">
        <v>78</v>
      </c>
      <c r="N206" t="s">
        <v>79</v>
      </c>
      <c r="O206" t="s">
        <v>74</v>
      </c>
      <c r="P206" t="s">
        <v>74</v>
      </c>
      <c r="Q206" t="s">
        <v>74</v>
      </c>
      <c r="R206" t="s">
        <v>74</v>
      </c>
      <c r="S206" t="s">
        <v>74</v>
      </c>
      <c r="T206" t="s">
        <v>3536</v>
      </c>
      <c r="U206" t="s">
        <v>3537</v>
      </c>
      <c r="V206" t="s">
        <v>3538</v>
      </c>
      <c r="W206" t="s">
        <v>3539</v>
      </c>
      <c r="X206" t="s">
        <v>3540</v>
      </c>
      <c r="Y206" t="s">
        <v>3541</v>
      </c>
      <c r="Z206" t="s">
        <v>3542</v>
      </c>
      <c r="AA206" t="s">
        <v>3543</v>
      </c>
      <c r="AB206" t="s">
        <v>3544</v>
      </c>
      <c r="AC206" t="s">
        <v>74</v>
      </c>
      <c r="AD206" t="s">
        <v>74</v>
      </c>
      <c r="AE206" t="s">
        <v>74</v>
      </c>
      <c r="AF206" t="s">
        <v>74</v>
      </c>
      <c r="AG206">
        <v>69</v>
      </c>
      <c r="AH206">
        <v>48</v>
      </c>
      <c r="AI206">
        <v>61</v>
      </c>
      <c r="AJ206">
        <v>1</v>
      </c>
      <c r="AK206">
        <v>31</v>
      </c>
      <c r="AL206" t="s">
        <v>1503</v>
      </c>
      <c r="AM206" t="s">
        <v>1504</v>
      </c>
      <c r="AN206" t="s">
        <v>1505</v>
      </c>
      <c r="AO206" t="s">
        <v>1661</v>
      </c>
      <c r="AP206" t="s">
        <v>1662</v>
      </c>
      <c r="AQ206" t="s">
        <v>74</v>
      </c>
      <c r="AR206" t="s">
        <v>1663</v>
      </c>
      <c r="AS206" t="s">
        <v>1664</v>
      </c>
      <c r="AT206" t="s">
        <v>3318</v>
      </c>
      <c r="AU206">
        <v>2007</v>
      </c>
      <c r="AV206">
        <v>54</v>
      </c>
      <c r="AW206">
        <v>7</v>
      </c>
      <c r="AX206" t="s">
        <v>74</v>
      </c>
      <c r="AY206" t="s">
        <v>74</v>
      </c>
      <c r="AZ206" t="s">
        <v>74</v>
      </c>
      <c r="BA206" t="s">
        <v>74</v>
      </c>
      <c r="BB206">
        <v>1129</v>
      </c>
      <c r="BC206">
        <v>1145</v>
      </c>
      <c r="BD206" t="s">
        <v>74</v>
      </c>
      <c r="BE206" t="s">
        <v>3545</v>
      </c>
      <c r="BF206" t="str">
        <f>HYPERLINK("http://dx.doi.org/10.1016/j.dsr.2007.05.002","http://dx.doi.org/10.1016/j.dsr.2007.05.002")</f>
        <v>http://dx.doi.org/10.1016/j.dsr.2007.05.002</v>
      </c>
      <c r="BG206" t="s">
        <v>74</v>
      </c>
      <c r="BH206" t="s">
        <v>74</v>
      </c>
      <c r="BI206">
        <v>17</v>
      </c>
      <c r="BJ206" t="s">
        <v>221</v>
      </c>
      <c r="BK206" t="s">
        <v>98</v>
      </c>
      <c r="BL206" t="s">
        <v>221</v>
      </c>
      <c r="BM206" t="s">
        <v>3506</v>
      </c>
      <c r="BN206" t="s">
        <v>74</v>
      </c>
      <c r="BO206" t="s">
        <v>198</v>
      </c>
      <c r="BP206" t="s">
        <v>74</v>
      </c>
      <c r="BQ206" t="s">
        <v>74</v>
      </c>
      <c r="BR206" t="s">
        <v>101</v>
      </c>
      <c r="BS206" t="s">
        <v>3546</v>
      </c>
      <c r="BT206" t="str">
        <f>HYPERLINK("https%3A%2F%2Fwww.webofscience.com%2Fwos%2Fwoscc%2Ffull-record%2FWOS:000248249400006","View Full Record in Web of Science")</f>
        <v>View Full Record in Web of Science</v>
      </c>
    </row>
    <row r="207" spans="1:72" x14ac:dyDescent="0.15">
      <c r="A207" t="s">
        <v>72</v>
      </c>
      <c r="B207" t="s">
        <v>1668</v>
      </c>
      <c r="C207" t="s">
        <v>74</v>
      </c>
      <c r="D207" t="s">
        <v>74</v>
      </c>
      <c r="E207" t="s">
        <v>74</v>
      </c>
      <c r="F207" t="s">
        <v>1669</v>
      </c>
      <c r="G207" t="s">
        <v>74</v>
      </c>
      <c r="H207" t="s">
        <v>74</v>
      </c>
      <c r="I207" t="s">
        <v>3547</v>
      </c>
      <c r="J207" t="s">
        <v>1671</v>
      </c>
      <c r="K207" t="s">
        <v>74</v>
      </c>
      <c r="L207" t="s">
        <v>74</v>
      </c>
      <c r="M207" t="s">
        <v>78</v>
      </c>
      <c r="N207" t="s">
        <v>79</v>
      </c>
      <c r="O207" t="s">
        <v>74</v>
      </c>
      <c r="P207" t="s">
        <v>74</v>
      </c>
      <c r="Q207" t="s">
        <v>74</v>
      </c>
      <c r="R207" t="s">
        <v>74</v>
      </c>
      <c r="S207" t="s">
        <v>74</v>
      </c>
      <c r="T207" t="s">
        <v>74</v>
      </c>
      <c r="U207" t="s">
        <v>3548</v>
      </c>
      <c r="V207" t="s">
        <v>74</v>
      </c>
      <c r="W207" t="s">
        <v>1673</v>
      </c>
      <c r="X207" t="s">
        <v>1674</v>
      </c>
      <c r="Y207" t="s">
        <v>3549</v>
      </c>
      <c r="Z207" t="s">
        <v>1676</v>
      </c>
      <c r="AA207" t="s">
        <v>74</v>
      </c>
      <c r="AB207" t="s">
        <v>74</v>
      </c>
      <c r="AC207" t="s">
        <v>74</v>
      </c>
      <c r="AD207" t="s">
        <v>74</v>
      </c>
      <c r="AE207" t="s">
        <v>74</v>
      </c>
      <c r="AF207" t="s">
        <v>74</v>
      </c>
      <c r="AG207">
        <v>13</v>
      </c>
      <c r="AH207">
        <v>2</v>
      </c>
      <c r="AI207">
        <v>2</v>
      </c>
      <c r="AJ207">
        <v>0</v>
      </c>
      <c r="AK207">
        <v>0</v>
      </c>
      <c r="AL207" t="s">
        <v>1677</v>
      </c>
      <c r="AM207" t="s">
        <v>1593</v>
      </c>
      <c r="AN207" t="s">
        <v>1678</v>
      </c>
      <c r="AO207" t="s">
        <v>1679</v>
      </c>
      <c r="AP207" t="s">
        <v>74</v>
      </c>
      <c r="AQ207" t="s">
        <v>74</v>
      </c>
      <c r="AR207" t="s">
        <v>1681</v>
      </c>
      <c r="AS207" t="s">
        <v>1682</v>
      </c>
      <c r="AT207" t="s">
        <v>3318</v>
      </c>
      <c r="AU207">
        <v>2007</v>
      </c>
      <c r="AV207">
        <v>415</v>
      </c>
      <c r="AW207">
        <v>5</v>
      </c>
      <c r="AX207" t="s">
        <v>74</v>
      </c>
      <c r="AY207" t="s">
        <v>74</v>
      </c>
      <c r="AZ207" t="s">
        <v>74</v>
      </c>
      <c r="BA207" t="s">
        <v>74</v>
      </c>
      <c r="BB207">
        <v>823</v>
      </c>
      <c r="BC207">
        <v>827</v>
      </c>
      <c r="BD207" t="s">
        <v>74</v>
      </c>
      <c r="BE207" t="s">
        <v>3550</v>
      </c>
      <c r="BF207" t="str">
        <f>HYPERLINK("http://dx.doi.org/10.1134/S1028334X07050364","http://dx.doi.org/10.1134/S1028334X07050364")</f>
        <v>http://dx.doi.org/10.1134/S1028334X07050364</v>
      </c>
      <c r="BG207" t="s">
        <v>74</v>
      </c>
      <c r="BH207" t="s">
        <v>74</v>
      </c>
      <c r="BI207">
        <v>5</v>
      </c>
      <c r="BJ207" t="s">
        <v>151</v>
      </c>
      <c r="BK207" t="s">
        <v>98</v>
      </c>
      <c r="BL207" t="s">
        <v>152</v>
      </c>
      <c r="BM207" t="s">
        <v>3551</v>
      </c>
      <c r="BN207" t="s">
        <v>74</v>
      </c>
      <c r="BO207" t="s">
        <v>74</v>
      </c>
      <c r="BP207" t="s">
        <v>74</v>
      </c>
      <c r="BQ207" t="s">
        <v>74</v>
      </c>
      <c r="BR207" t="s">
        <v>101</v>
      </c>
      <c r="BS207" t="s">
        <v>3552</v>
      </c>
      <c r="BT207" t="str">
        <f>HYPERLINK("https%3A%2F%2Fwww.webofscience.com%2Fwos%2Fwoscc%2Ffull-record%2FWOS:000248616400036","View Full Record in Web of Science")</f>
        <v>View Full Record in Web of Science</v>
      </c>
    </row>
    <row r="208" spans="1:72" x14ac:dyDescent="0.15">
      <c r="A208" t="s">
        <v>72</v>
      </c>
      <c r="B208" t="s">
        <v>3553</v>
      </c>
      <c r="C208" t="s">
        <v>74</v>
      </c>
      <c r="D208" t="s">
        <v>74</v>
      </c>
      <c r="E208" t="s">
        <v>74</v>
      </c>
      <c r="F208" t="s">
        <v>3554</v>
      </c>
      <c r="G208" t="s">
        <v>74</v>
      </c>
      <c r="H208" t="s">
        <v>74</v>
      </c>
      <c r="I208" t="s">
        <v>3555</v>
      </c>
      <c r="J208" t="s">
        <v>3556</v>
      </c>
      <c r="K208" t="s">
        <v>74</v>
      </c>
      <c r="L208" t="s">
        <v>74</v>
      </c>
      <c r="M208" t="s">
        <v>78</v>
      </c>
      <c r="N208" t="s">
        <v>79</v>
      </c>
      <c r="O208" t="s">
        <v>74</v>
      </c>
      <c r="P208" t="s">
        <v>74</v>
      </c>
      <c r="Q208" t="s">
        <v>74</v>
      </c>
      <c r="R208" t="s">
        <v>74</v>
      </c>
      <c r="S208" t="s">
        <v>74</v>
      </c>
      <c r="T208" t="s">
        <v>3557</v>
      </c>
      <c r="U208" t="s">
        <v>3558</v>
      </c>
      <c r="V208" t="s">
        <v>3559</v>
      </c>
      <c r="W208" t="s">
        <v>3560</v>
      </c>
      <c r="X208" t="s">
        <v>3561</v>
      </c>
      <c r="Y208" t="s">
        <v>3562</v>
      </c>
      <c r="Z208" t="s">
        <v>3563</v>
      </c>
      <c r="AA208" t="s">
        <v>3564</v>
      </c>
      <c r="AB208" t="s">
        <v>3565</v>
      </c>
      <c r="AC208" t="s">
        <v>3566</v>
      </c>
      <c r="AD208" t="s">
        <v>3567</v>
      </c>
      <c r="AE208" t="s">
        <v>74</v>
      </c>
      <c r="AF208" t="s">
        <v>74</v>
      </c>
      <c r="AG208">
        <v>52</v>
      </c>
      <c r="AH208">
        <v>28</v>
      </c>
      <c r="AI208">
        <v>28</v>
      </c>
      <c r="AJ208">
        <v>1</v>
      </c>
      <c r="AK208">
        <v>32</v>
      </c>
      <c r="AL208" t="s">
        <v>3568</v>
      </c>
      <c r="AM208" t="s">
        <v>363</v>
      </c>
      <c r="AN208" t="s">
        <v>3569</v>
      </c>
      <c r="AO208" t="s">
        <v>3570</v>
      </c>
      <c r="AP208" t="s">
        <v>3571</v>
      </c>
      <c r="AQ208" t="s">
        <v>74</v>
      </c>
      <c r="AR208" t="s">
        <v>3572</v>
      </c>
      <c r="AS208" t="s">
        <v>3573</v>
      </c>
      <c r="AT208" t="s">
        <v>3318</v>
      </c>
      <c r="AU208">
        <v>2007</v>
      </c>
      <c r="AV208">
        <v>73</v>
      </c>
      <c r="AW208" t="s">
        <v>686</v>
      </c>
      <c r="AX208" t="s">
        <v>74</v>
      </c>
      <c r="AY208" t="s">
        <v>74</v>
      </c>
      <c r="AZ208" t="s">
        <v>74</v>
      </c>
      <c r="BA208" t="s">
        <v>74</v>
      </c>
      <c r="BB208">
        <v>355</v>
      </c>
      <c r="BC208">
        <v>367</v>
      </c>
      <c r="BD208" t="s">
        <v>74</v>
      </c>
      <c r="BE208" t="s">
        <v>3574</v>
      </c>
      <c r="BF208" t="str">
        <f>HYPERLINK("http://dx.doi.org/10.1016/j.ecss.2007.01.019","http://dx.doi.org/10.1016/j.ecss.2007.01.019")</f>
        <v>http://dx.doi.org/10.1016/j.ecss.2007.01.019</v>
      </c>
      <c r="BG208" t="s">
        <v>74</v>
      </c>
      <c r="BH208" t="s">
        <v>74</v>
      </c>
      <c r="BI208">
        <v>13</v>
      </c>
      <c r="BJ208" t="s">
        <v>2093</v>
      </c>
      <c r="BK208" t="s">
        <v>98</v>
      </c>
      <c r="BL208" t="s">
        <v>2093</v>
      </c>
      <c r="BM208" t="s">
        <v>3575</v>
      </c>
      <c r="BN208" t="s">
        <v>74</v>
      </c>
      <c r="BO208" t="s">
        <v>74</v>
      </c>
      <c r="BP208" t="s">
        <v>74</v>
      </c>
      <c r="BQ208" t="s">
        <v>74</v>
      </c>
      <c r="BR208" t="s">
        <v>101</v>
      </c>
      <c r="BS208" t="s">
        <v>3576</v>
      </c>
      <c r="BT208" t="str">
        <f>HYPERLINK("https%3A%2F%2Fwww.webofscience.com%2Fwos%2Fwoscc%2Ffull-record%2FWOS:000247281500001","View Full Record in Web of Science")</f>
        <v>View Full Record in Web of Science</v>
      </c>
    </row>
    <row r="209" spans="1:72" x14ac:dyDescent="0.15">
      <c r="A209" t="s">
        <v>72</v>
      </c>
      <c r="B209" t="s">
        <v>3577</v>
      </c>
      <c r="C209" t="s">
        <v>74</v>
      </c>
      <c r="D209" t="s">
        <v>74</v>
      </c>
      <c r="E209" t="s">
        <v>74</v>
      </c>
      <c r="F209" t="s">
        <v>3578</v>
      </c>
      <c r="G209" t="s">
        <v>74</v>
      </c>
      <c r="H209" t="s">
        <v>74</v>
      </c>
      <c r="I209" t="s">
        <v>3579</v>
      </c>
      <c r="J209" t="s">
        <v>3580</v>
      </c>
      <c r="K209" t="s">
        <v>74</v>
      </c>
      <c r="L209" t="s">
        <v>74</v>
      </c>
      <c r="M209" t="s">
        <v>78</v>
      </c>
      <c r="N209" t="s">
        <v>79</v>
      </c>
      <c r="O209" t="s">
        <v>74</v>
      </c>
      <c r="P209" t="s">
        <v>74</v>
      </c>
      <c r="Q209" t="s">
        <v>74</v>
      </c>
      <c r="R209" t="s">
        <v>74</v>
      </c>
      <c r="S209" t="s">
        <v>74</v>
      </c>
      <c r="T209" t="s">
        <v>3581</v>
      </c>
      <c r="U209" t="s">
        <v>3582</v>
      </c>
      <c r="V209" t="s">
        <v>3583</v>
      </c>
      <c r="W209" t="s">
        <v>3584</v>
      </c>
      <c r="X209" t="s">
        <v>3585</v>
      </c>
      <c r="Y209" t="s">
        <v>3586</v>
      </c>
      <c r="Z209" t="s">
        <v>3587</v>
      </c>
      <c r="AA209" t="s">
        <v>74</v>
      </c>
      <c r="AB209" t="s">
        <v>3588</v>
      </c>
      <c r="AC209" t="s">
        <v>74</v>
      </c>
      <c r="AD209" t="s">
        <v>74</v>
      </c>
      <c r="AE209" t="s">
        <v>74</v>
      </c>
      <c r="AF209" t="s">
        <v>74</v>
      </c>
      <c r="AG209">
        <v>34</v>
      </c>
      <c r="AH209">
        <v>26</v>
      </c>
      <c r="AI209">
        <v>32</v>
      </c>
      <c r="AJ209">
        <v>0</v>
      </c>
      <c r="AK209">
        <v>16</v>
      </c>
      <c r="AL209" t="s">
        <v>3589</v>
      </c>
      <c r="AM209" t="s">
        <v>1504</v>
      </c>
      <c r="AN209" t="s">
        <v>3590</v>
      </c>
      <c r="AO209" t="s">
        <v>3591</v>
      </c>
      <c r="AP209" t="s">
        <v>74</v>
      </c>
      <c r="AQ209" t="s">
        <v>74</v>
      </c>
      <c r="AR209" t="s">
        <v>3592</v>
      </c>
      <c r="AS209" t="s">
        <v>3593</v>
      </c>
      <c r="AT209" t="s">
        <v>3318</v>
      </c>
      <c r="AU209">
        <v>2007</v>
      </c>
      <c r="AV209">
        <v>272</v>
      </c>
      <c r="AW209">
        <v>1</v>
      </c>
      <c r="AX209" t="s">
        <v>74</v>
      </c>
      <c r="AY209" t="s">
        <v>74</v>
      </c>
      <c r="AZ209" t="s">
        <v>74</v>
      </c>
      <c r="BA209" t="s">
        <v>74</v>
      </c>
      <c r="BB209">
        <v>48</v>
      </c>
      <c r="BC209">
        <v>54</v>
      </c>
      <c r="BD209" t="s">
        <v>74</v>
      </c>
      <c r="BE209" t="s">
        <v>3594</v>
      </c>
      <c r="BF209" t="str">
        <f>HYPERLINK("http://dx.doi.org/10.1111/j.1574-6968.2007.00737.x","http://dx.doi.org/10.1111/j.1574-6968.2007.00737.x")</f>
        <v>http://dx.doi.org/10.1111/j.1574-6968.2007.00737.x</v>
      </c>
      <c r="BG209" t="s">
        <v>74</v>
      </c>
      <c r="BH209" t="s">
        <v>74</v>
      </c>
      <c r="BI209">
        <v>7</v>
      </c>
      <c r="BJ209" t="s">
        <v>1722</v>
      </c>
      <c r="BK209" t="s">
        <v>98</v>
      </c>
      <c r="BL209" t="s">
        <v>1722</v>
      </c>
      <c r="BM209" t="s">
        <v>3595</v>
      </c>
      <c r="BN209">
        <v>17456187</v>
      </c>
      <c r="BO209" t="s">
        <v>74</v>
      </c>
      <c r="BP209" t="s">
        <v>74</v>
      </c>
      <c r="BQ209" t="s">
        <v>74</v>
      </c>
      <c r="BR209" t="s">
        <v>101</v>
      </c>
      <c r="BS209" t="s">
        <v>3596</v>
      </c>
      <c r="BT209" t="str">
        <f>HYPERLINK("https%3A%2F%2Fwww.webofscience.com%2Fwos%2Fwoscc%2Ffull-record%2FWOS:000247317000008","View Full Record in Web of Science")</f>
        <v>View Full Record in Web of Science</v>
      </c>
    </row>
    <row r="210" spans="1:72" x14ac:dyDescent="0.15">
      <c r="A210" t="s">
        <v>72</v>
      </c>
      <c r="B210" t="s">
        <v>3597</v>
      </c>
      <c r="C210" t="s">
        <v>74</v>
      </c>
      <c r="D210" t="s">
        <v>74</v>
      </c>
      <c r="E210" t="s">
        <v>74</v>
      </c>
      <c r="F210" t="s">
        <v>3598</v>
      </c>
      <c r="G210" t="s">
        <v>74</v>
      </c>
      <c r="H210" t="s">
        <v>74</v>
      </c>
      <c r="I210" t="s">
        <v>3599</v>
      </c>
      <c r="J210" t="s">
        <v>1766</v>
      </c>
      <c r="K210" t="s">
        <v>74</v>
      </c>
      <c r="L210" t="s">
        <v>74</v>
      </c>
      <c r="M210" t="s">
        <v>78</v>
      </c>
      <c r="N210" t="s">
        <v>79</v>
      </c>
      <c r="O210" t="s">
        <v>74</v>
      </c>
      <c r="P210" t="s">
        <v>74</v>
      </c>
      <c r="Q210" t="s">
        <v>74</v>
      </c>
      <c r="R210" t="s">
        <v>74</v>
      </c>
      <c r="S210" t="s">
        <v>74</v>
      </c>
      <c r="T210" t="s">
        <v>74</v>
      </c>
      <c r="U210" t="s">
        <v>3600</v>
      </c>
      <c r="V210" t="s">
        <v>3601</v>
      </c>
      <c r="W210" t="s">
        <v>3602</v>
      </c>
      <c r="X210" t="s">
        <v>3603</v>
      </c>
      <c r="Y210" t="s">
        <v>3604</v>
      </c>
      <c r="Z210" t="s">
        <v>3605</v>
      </c>
      <c r="AA210" t="s">
        <v>3606</v>
      </c>
      <c r="AB210" t="s">
        <v>3607</v>
      </c>
      <c r="AC210" t="s">
        <v>74</v>
      </c>
      <c r="AD210" t="s">
        <v>74</v>
      </c>
      <c r="AE210" t="s">
        <v>74</v>
      </c>
      <c r="AF210" t="s">
        <v>74</v>
      </c>
      <c r="AG210">
        <v>66</v>
      </c>
      <c r="AH210">
        <v>11</v>
      </c>
      <c r="AI210">
        <v>12</v>
      </c>
      <c r="AJ210">
        <v>0</v>
      </c>
      <c r="AK210">
        <v>11</v>
      </c>
      <c r="AL210" t="s">
        <v>1503</v>
      </c>
      <c r="AM210" t="s">
        <v>1504</v>
      </c>
      <c r="AN210" t="s">
        <v>1505</v>
      </c>
      <c r="AO210" t="s">
        <v>1775</v>
      </c>
      <c r="AP210" t="s">
        <v>1790</v>
      </c>
      <c r="AQ210" t="s">
        <v>74</v>
      </c>
      <c r="AR210" t="s">
        <v>1776</v>
      </c>
      <c r="AS210" t="s">
        <v>1777</v>
      </c>
      <c r="AT210" t="s">
        <v>3608</v>
      </c>
      <c r="AU210">
        <v>2007</v>
      </c>
      <c r="AV210">
        <v>71</v>
      </c>
      <c r="AW210">
        <v>13</v>
      </c>
      <c r="AX210" t="s">
        <v>74</v>
      </c>
      <c r="AY210" t="s">
        <v>74</v>
      </c>
      <c r="AZ210" t="s">
        <v>74</v>
      </c>
      <c r="BA210" t="s">
        <v>74</v>
      </c>
      <c r="BB210">
        <v>3145</v>
      </c>
      <c r="BC210">
        <v>3161</v>
      </c>
      <c r="BD210" t="s">
        <v>74</v>
      </c>
      <c r="BE210" t="s">
        <v>3609</v>
      </c>
      <c r="BF210" t="str">
        <f>HYPERLINK("http://dx.doi.org/10.1016/j.gca.2007.03.007","http://dx.doi.org/10.1016/j.gca.2007.03.007")</f>
        <v>http://dx.doi.org/10.1016/j.gca.2007.03.007</v>
      </c>
      <c r="BG210" t="s">
        <v>74</v>
      </c>
      <c r="BH210" t="s">
        <v>74</v>
      </c>
      <c r="BI210">
        <v>17</v>
      </c>
      <c r="BJ210" t="s">
        <v>688</v>
      </c>
      <c r="BK210" t="s">
        <v>98</v>
      </c>
      <c r="BL210" t="s">
        <v>688</v>
      </c>
      <c r="BM210" t="s">
        <v>3610</v>
      </c>
      <c r="BN210" t="s">
        <v>74</v>
      </c>
      <c r="BO210" t="s">
        <v>74</v>
      </c>
      <c r="BP210" t="s">
        <v>74</v>
      </c>
      <c r="BQ210" t="s">
        <v>74</v>
      </c>
      <c r="BR210" t="s">
        <v>101</v>
      </c>
      <c r="BS210" t="s">
        <v>3611</v>
      </c>
      <c r="BT210" t="str">
        <f>HYPERLINK("https%3A%2F%2Fwww.webofscience.com%2Fwos%2Fwoscc%2Ffull-record%2FWOS:000247895700001","View Full Record in Web of Science")</f>
        <v>View Full Record in Web of Science</v>
      </c>
    </row>
    <row r="211" spans="1:72" x14ac:dyDescent="0.15">
      <c r="A211" t="s">
        <v>72</v>
      </c>
      <c r="B211" t="s">
        <v>3612</v>
      </c>
      <c r="C211" t="s">
        <v>74</v>
      </c>
      <c r="D211" t="s">
        <v>74</v>
      </c>
      <c r="E211" t="s">
        <v>74</v>
      </c>
      <c r="F211" t="s">
        <v>3613</v>
      </c>
      <c r="G211" t="s">
        <v>74</v>
      </c>
      <c r="H211" t="s">
        <v>74</v>
      </c>
      <c r="I211" t="s">
        <v>3614</v>
      </c>
      <c r="J211" t="s">
        <v>3615</v>
      </c>
      <c r="K211" t="s">
        <v>74</v>
      </c>
      <c r="L211" t="s">
        <v>74</v>
      </c>
      <c r="M211" t="s">
        <v>78</v>
      </c>
      <c r="N211" t="s">
        <v>79</v>
      </c>
      <c r="O211" t="s">
        <v>74</v>
      </c>
      <c r="P211" t="s">
        <v>74</v>
      </c>
      <c r="Q211" t="s">
        <v>74</v>
      </c>
      <c r="R211" t="s">
        <v>74</v>
      </c>
      <c r="S211" t="s">
        <v>74</v>
      </c>
      <c r="T211" t="s">
        <v>3616</v>
      </c>
      <c r="U211" t="s">
        <v>3617</v>
      </c>
      <c r="V211" t="s">
        <v>3618</v>
      </c>
      <c r="W211" t="s">
        <v>3619</v>
      </c>
      <c r="X211" t="s">
        <v>3620</v>
      </c>
      <c r="Y211" t="s">
        <v>3621</v>
      </c>
      <c r="Z211" t="s">
        <v>3622</v>
      </c>
      <c r="AA211" t="s">
        <v>3623</v>
      </c>
      <c r="AB211" t="s">
        <v>3624</v>
      </c>
      <c r="AC211" t="s">
        <v>3625</v>
      </c>
      <c r="AD211" t="s">
        <v>140</v>
      </c>
      <c r="AE211" t="s">
        <v>74</v>
      </c>
      <c r="AF211" t="s">
        <v>74</v>
      </c>
      <c r="AG211">
        <v>33</v>
      </c>
      <c r="AH211">
        <v>18</v>
      </c>
      <c r="AI211">
        <v>21</v>
      </c>
      <c r="AJ211">
        <v>0</v>
      </c>
      <c r="AK211">
        <v>5</v>
      </c>
      <c r="AL211" t="s">
        <v>3589</v>
      </c>
      <c r="AM211" t="s">
        <v>1504</v>
      </c>
      <c r="AN211" t="s">
        <v>3590</v>
      </c>
      <c r="AO211" t="s">
        <v>3626</v>
      </c>
      <c r="AP211" t="s">
        <v>74</v>
      </c>
      <c r="AQ211" t="s">
        <v>74</v>
      </c>
      <c r="AR211" t="s">
        <v>3627</v>
      </c>
      <c r="AS211" t="s">
        <v>3628</v>
      </c>
      <c r="AT211" t="s">
        <v>3318</v>
      </c>
      <c r="AU211">
        <v>2007</v>
      </c>
      <c r="AV211">
        <v>170</v>
      </c>
      <c r="AW211">
        <v>1</v>
      </c>
      <c r="AX211" t="s">
        <v>74</v>
      </c>
      <c r="AY211" t="s">
        <v>74</v>
      </c>
      <c r="AZ211" t="s">
        <v>74</v>
      </c>
      <c r="BA211" t="s">
        <v>74</v>
      </c>
      <c r="BB211">
        <v>93</v>
      </c>
      <c r="BC211">
        <v>100</v>
      </c>
      <c r="BD211" t="s">
        <v>74</v>
      </c>
      <c r="BE211" t="s">
        <v>3629</v>
      </c>
      <c r="BF211" t="str">
        <f>HYPERLINK("http://dx.doi.org/10.1111/j.1365-246X.2007.03395.x","http://dx.doi.org/10.1111/j.1365-246X.2007.03395.x")</f>
        <v>http://dx.doi.org/10.1111/j.1365-246X.2007.03395.x</v>
      </c>
      <c r="BG211" t="s">
        <v>74</v>
      </c>
      <c r="BH211" t="s">
        <v>74</v>
      </c>
      <c r="BI211">
        <v>8</v>
      </c>
      <c r="BJ211" t="s">
        <v>688</v>
      </c>
      <c r="BK211" t="s">
        <v>98</v>
      </c>
      <c r="BL211" t="s">
        <v>688</v>
      </c>
      <c r="BM211" t="s">
        <v>3630</v>
      </c>
      <c r="BN211" t="s">
        <v>74</v>
      </c>
      <c r="BO211" t="s">
        <v>154</v>
      </c>
      <c r="BP211" t="s">
        <v>74</v>
      </c>
      <c r="BQ211" t="s">
        <v>74</v>
      </c>
      <c r="BR211" t="s">
        <v>101</v>
      </c>
      <c r="BS211" t="s">
        <v>3631</v>
      </c>
      <c r="BT211" t="str">
        <f>HYPERLINK("https%3A%2F%2Fwww.webofscience.com%2Fwos%2Fwoscc%2Ffull-record%2FWOS:000247606400006","View Full Record in Web of Science")</f>
        <v>View Full Record in Web of Science</v>
      </c>
    </row>
    <row r="212" spans="1:72" x14ac:dyDescent="0.15">
      <c r="A212" t="s">
        <v>72</v>
      </c>
      <c r="B212" t="s">
        <v>3632</v>
      </c>
      <c r="C212" t="s">
        <v>74</v>
      </c>
      <c r="D212" t="s">
        <v>74</v>
      </c>
      <c r="E212" t="s">
        <v>74</v>
      </c>
      <c r="F212" t="s">
        <v>3633</v>
      </c>
      <c r="G212" t="s">
        <v>74</v>
      </c>
      <c r="H212" t="s">
        <v>74</v>
      </c>
      <c r="I212" t="s">
        <v>3634</v>
      </c>
      <c r="J212" t="s">
        <v>3615</v>
      </c>
      <c r="K212" t="s">
        <v>74</v>
      </c>
      <c r="L212" t="s">
        <v>74</v>
      </c>
      <c r="M212" t="s">
        <v>78</v>
      </c>
      <c r="N212" t="s">
        <v>248</v>
      </c>
      <c r="O212" t="s">
        <v>74</v>
      </c>
      <c r="P212" t="s">
        <v>74</v>
      </c>
      <c r="Q212" t="s">
        <v>74</v>
      </c>
      <c r="R212" t="s">
        <v>74</v>
      </c>
      <c r="S212" t="s">
        <v>74</v>
      </c>
      <c r="T212" t="s">
        <v>3635</v>
      </c>
      <c r="U212" t="s">
        <v>3636</v>
      </c>
      <c r="V212" t="s">
        <v>3637</v>
      </c>
      <c r="W212" t="s">
        <v>3638</v>
      </c>
      <c r="X212" t="s">
        <v>3639</v>
      </c>
      <c r="Y212" t="s">
        <v>3640</v>
      </c>
      <c r="Z212" t="s">
        <v>74</v>
      </c>
      <c r="AA212" t="s">
        <v>3641</v>
      </c>
      <c r="AB212" t="s">
        <v>3642</v>
      </c>
      <c r="AC212" t="s">
        <v>74</v>
      </c>
      <c r="AD212" t="s">
        <v>74</v>
      </c>
      <c r="AE212" t="s">
        <v>74</v>
      </c>
      <c r="AF212" t="s">
        <v>74</v>
      </c>
      <c r="AG212">
        <v>104</v>
      </c>
      <c r="AH212">
        <v>205</v>
      </c>
      <c r="AI212">
        <v>217</v>
      </c>
      <c r="AJ212">
        <v>0</v>
      </c>
      <c r="AK212">
        <v>24</v>
      </c>
      <c r="AL212" t="s">
        <v>1715</v>
      </c>
      <c r="AM212" t="s">
        <v>1504</v>
      </c>
      <c r="AN212" t="s">
        <v>1716</v>
      </c>
      <c r="AO212" t="s">
        <v>3626</v>
      </c>
      <c r="AP212" t="s">
        <v>3643</v>
      </c>
      <c r="AQ212" t="s">
        <v>74</v>
      </c>
      <c r="AR212" t="s">
        <v>3627</v>
      </c>
      <c r="AS212" t="s">
        <v>3628</v>
      </c>
      <c r="AT212" t="s">
        <v>3318</v>
      </c>
      <c r="AU212">
        <v>2007</v>
      </c>
      <c r="AV212">
        <v>170</v>
      </c>
      <c r="AW212">
        <v>1</v>
      </c>
      <c r="AX212" t="s">
        <v>74</v>
      </c>
      <c r="AY212" t="s">
        <v>74</v>
      </c>
      <c r="AZ212" t="s">
        <v>74</v>
      </c>
      <c r="BA212" t="s">
        <v>74</v>
      </c>
      <c r="BB212">
        <v>151</v>
      </c>
      <c r="BC212">
        <v>169</v>
      </c>
      <c r="BD212" t="s">
        <v>74</v>
      </c>
      <c r="BE212" t="s">
        <v>3644</v>
      </c>
      <c r="BF212" t="str">
        <f>HYPERLINK("http://dx.doi.org/10.1111/j.1365-246X.2007.03450.x","http://dx.doi.org/10.1111/j.1365-246X.2007.03450.x")</f>
        <v>http://dx.doi.org/10.1111/j.1365-246X.2007.03450.x</v>
      </c>
      <c r="BG212" t="s">
        <v>74</v>
      </c>
      <c r="BH212" t="s">
        <v>74</v>
      </c>
      <c r="BI212">
        <v>19</v>
      </c>
      <c r="BJ212" t="s">
        <v>688</v>
      </c>
      <c r="BK212" t="s">
        <v>98</v>
      </c>
      <c r="BL212" t="s">
        <v>688</v>
      </c>
      <c r="BM212" t="s">
        <v>3630</v>
      </c>
      <c r="BN212" t="s">
        <v>74</v>
      </c>
      <c r="BO212" t="s">
        <v>154</v>
      </c>
      <c r="BP212" t="s">
        <v>74</v>
      </c>
      <c r="BQ212" t="s">
        <v>74</v>
      </c>
      <c r="BR212" t="s">
        <v>101</v>
      </c>
      <c r="BS212" t="s">
        <v>3645</v>
      </c>
      <c r="BT212" t="str">
        <f>HYPERLINK("https%3A%2F%2Fwww.webofscience.com%2Fwos%2Fwoscc%2Ffull-record%2FWOS:000247606400011","View Full Record in Web of Science")</f>
        <v>View Full Record in Web of Science</v>
      </c>
    </row>
    <row r="213" spans="1:72" x14ac:dyDescent="0.15">
      <c r="A213" t="s">
        <v>72</v>
      </c>
      <c r="B213" t="s">
        <v>3646</v>
      </c>
      <c r="C213" t="s">
        <v>74</v>
      </c>
      <c r="D213" t="s">
        <v>74</v>
      </c>
      <c r="E213" t="s">
        <v>74</v>
      </c>
      <c r="F213" t="s">
        <v>3647</v>
      </c>
      <c r="G213" t="s">
        <v>74</v>
      </c>
      <c r="H213" t="s">
        <v>74</v>
      </c>
      <c r="I213" t="s">
        <v>3648</v>
      </c>
      <c r="J213" t="s">
        <v>3649</v>
      </c>
      <c r="K213" t="s">
        <v>74</v>
      </c>
      <c r="L213" t="s">
        <v>74</v>
      </c>
      <c r="M213" t="s">
        <v>78</v>
      </c>
      <c r="N213" t="s">
        <v>514</v>
      </c>
      <c r="O213" t="s">
        <v>3650</v>
      </c>
      <c r="P213">
        <v>2005</v>
      </c>
      <c r="Q213" t="s">
        <v>3651</v>
      </c>
      <c r="R213" t="s">
        <v>74</v>
      </c>
      <c r="S213" t="s">
        <v>74</v>
      </c>
      <c r="T213" t="s">
        <v>3652</v>
      </c>
      <c r="U213" t="s">
        <v>3653</v>
      </c>
      <c r="V213" t="s">
        <v>3654</v>
      </c>
      <c r="W213" t="s">
        <v>3655</v>
      </c>
      <c r="X213" t="s">
        <v>3656</v>
      </c>
      <c r="Y213" t="s">
        <v>3657</v>
      </c>
      <c r="Z213" t="s">
        <v>3658</v>
      </c>
      <c r="AA213" t="s">
        <v>74</v>
      </c>
      <c r="AB213" t="s">
        <v>3659</v>
      </c>
      <c r="AC213" t="s">
        <v>74</v>
      </c>
      <c r="AD213" t="s">
        <v>74</v>
      </c>
      <c r="AE213" t="s">
        <v>74</v>
      </c>
      <c r="AF213" t="s">
        <v>74</v>
      </c>
      <c r="AG213">
        <v>50</v>
      </c>
      <c r="AH213">
        <v>8</v>
      </c>
      <c r="AI213">
        <v>8</v>
      </c>
      <c r="AJ213">
        <v>0</v>
      </c>
      <c r="AK213">
        <v>5</v>
      </c>
      <c r="AL213" t="s">
        <v>1592</v>
      </c>
      <c r="AM213" t="s">
        <v>2052</v>
      </c>
      <c r="AN213" t="s">
        <v>2053</v>
      </c>
      <c r="AO213" t="s">
        <v>3660</v>
      </c>
      <c r="AP213" t="s">
        <v>3661</v>
      </c>
      <c r="AQ213" t="s">
        <v>74</v>
      </c>
      <c r="AR213" t="s">
        <v>3649</v>
      </c>
      <c r="AS213" t="s">
        <v>3662</v>
      </c>
      <c r="AT213" t="s">
        <v>3318</v>
      </c>
      <c r="AU213">
        <v>2007</v>
      </c>
      <c r="AV213">
        <v>585</v>
      </c>
      <c r="AW213" t="s">
        <v>74</v>
      </c>
      <c r="AX213" t="s">
        <v>74</v>
      </c>
      <c r="AY213" t="s">
        <v>74</v>
      </c>
      <c r="AZ213" t="s">
        <v>74</v>
      </c>
      <c r="BA213" t="s">
        <v>74</v>
      </c>
      <c r="BB213">
        <v>67</v>
      </c>
      <c r="BC213">
        <v>77</v>
      </c>
      <c r="BD213" t="s">
        <v>74</v>
      </c>
      <c r="BE213" t="s">
        <v>3663</v>
      </c>
      <c r="BF213" t="str">
        <f>HYPERLINK("http://dx.doi.org/10.1007/s10750-007-0629-2","http://dx.doi.org/10.1007/s10750-007-0629-2")</f>
        <v>http://dx.doi.org/10.1007/s10750-007-0629-2</v>
      </c>
      <c r="BG213" t="s">
        <v>74</v>
      </c>
      <c r="BH213" t="s">
        <v>74</v>
      </c>
      <c r="BI213">
        <v>11</v>
      </c>
      <c r="BJ213" t="s">
        <v>2178</v>
      </c>
      <c r="BK213" t="s">
        <v>535</v>
      </c>
      <c r="BL213" t="s">
        <v>2178</v>
      </c>
      <c r="BM213" t="s">
        <v>3664</v>
      </c>
      <c r="BN213" t="s">
        <v>74</v>
      </c>
      <c r="BO213" t="s">
        <v>74</v>
      </c>
      <c r="BP213" t="s">
        <v>74</v>
      </c>
      <c r="BQ213" t="s">
        <v>74</v>
      </c>
      <c r="BR213" t="s">
        <v>101</v>
      </c>
      <c r="BS213" t="s">
        <v>3665</v>
      </c>
      <c r="BT213" t="str">
        <f>HYPERLINK("https%3A%2F%2Fwww.webofscience.com%2Fwos%2Fwoscc%2Ffull-record%2FWOS:000246594200006","View Full Record in Web of Science")</f>
        <v>View Full Record in Web of Science</v>
      </c>
    </row>
    <row r="214" spans="1:72" x14ac:dyDescent="0.15">
      <c r="A214" t="s">
        <v>72</v>
      </c>
      <c r="B214" t="s">
        <v>3666</v>
      </c>
      <c r="C214" t="s">
        <v>74</v>
      </c>
      <c r="D214" t="s">
        <v>74</v>
      </c>
      <c r="E214" t="s">
        <v>74</v>
      </c>
      <c r="F214" t="s">
        <v>3667</v>
      </c>
      <c r="G214" t="s">
        <v>74</v>
      </c>
      <c r="H214" t="s">
        <v>74</v>
      </c>
      <c r="I214" t="s">
        <v>3668</v>
      </c>
      <c r="J214" t="s">
        <v>1881</v>
      </c>
      <c r="K214" t="s">
        <v>74</v>
      </c>
      <c r="L214" t="s">
        <v>74</v>
      </c>
      <c r="M214" t="s">
        <v>78</v>
      </c>
      <c r="N214" t="s">
        <v>514</v>
      </c>
      <c r="O214" t="s">
        <v>3669</v>
      </c>
      <c r="P214" t="s">
        <v>3670</v>
      </c>
      <c r="Q214" t="s">
        <v>3671</v>
      </c>
      <c r="R214" t="s">
        <v>74</v>
      </c>
      <c r="S214" t="s">
        <v>74</v>
      </c>
      <c r="T214" t="s">
        <v>3672</v>
      </c>
      <c r="U214" t="s">
        <v>3673</v>
      </c>
      <c r="V214" t="s">
        <v>3674</v>
      </c>
      <c r="W214" t="s">
        <v>3675</v>
      </c>
      <c r="X214" t="s">
        <v>3676</v>
      </c>
      <c r="Y214" t="s">
        <v>3677</v>
      </c>
      <c r="Z214" t="s">
        <v>3678</v>
      </c>
      <c r="AA214" t="s">
        <v>3679</v>
      </c>
      <c r="AB214" t="s">
        <v>3680</v>
      </c>
      <c r="AC214" t="s">
        <v>74</v>
      </c>
      <c r="AD214" t="s">
        <v>74</v>
      </c>
      <c r="AE214" t="s">
        <v>74</v>
      </c>
      <c r="AF214" t="s">
        <v>74</v>
      </c>
      <c r="AG214">
        <v>33</v>
      </c>
      <c r="AH214">
        <v>42</v>
      </c>
      <c r="AI214">
        <v>46</v>
      </c>
      <c r="AJ214">
        <v>1</v>
      </c>
      <c r="AK214">
        <v>5</v>
      </c>
      <c r="AL214" t="s">
        <v>1890</v>
      </c>
      <c r="AM214" t="s">
        <v>1891</v>
      </c>
      <c r="AN214" t="s">
        <v>1892</v>
      </c>
      <c r="AO214" t="s">
        <v>1893</v>
      </c>
      <c r="AP214" t="s">
        <v>1894</v>
      </c>
      <c r="AQ214" t="s">
        <v>74</v>
      </c>
      <c r="AR214" t="s">
        <v>1895</v>
      </c>
      <c r="AS214" t="s">
        <v>1896</v>
      </c>
      <c r="AT214" t="s">
        <v>3318</v>
      </c>
      <c r="AU214">
        <v>2007</v>
      </c>
      <c r="AV214">
        <v>45</v>
      </c>
      <c r="AW214">
        <v>7</v>
      </c>
      <c r="AX214">
        <v>1</v>
      </c>
      <c r="AY214" t="s">
        <v>74</v>
      </c>
      <c r="AZ214" t="s">
        <v>74</v>
      </c>
      <c r="BA214" t="s">
        <v>74</v>
      </c>
      <c r="BB214">
        <v>2029</v>
      </c>
      <c r="BC214">
        <v>2039</v>
      </c>
      <c r="BD214" t="s">
        <v>74</v>
      </c>
      <c r="BE214" t="s">
        <v>3681</v>
      </c>
      <c r="BF214" t="str">
        <f>HYPERLINK("http://dx.doi.org/10.1109/TGRS.2007.890805","http://dx.doi.org/10.1109/TGRS.2007.890805")</f>
        <v>http://dx.doi.org/10.1109/TGRS.2007.890805</v>
      </c>
      <c r="BG214" t="s">
        <v>74</v>
      </c>
      <c r="BH214" t="s">
        <v>74</v>
      </c>
      <c r="BI214">
        <v>11</v>
      </c>
      <c r="BJ214" t="s">
        <v>1898</v>
      </c>
      <c r="BK214" t="s">
        <v>535</v>
      </c>
      <c r="BL214" t="s">
        <v>1899</v>
      </c>
      <c r="BM214" t="s">
        <v>3682</v>
      </c>
      <c r="BN214" t="s">
        <v>74</v>
      </c>
      <c r="BO214" t="s">
        <v>74</v>
      </c>
      <c r="BP214" t="s">
        <v>74</v>
      </c>
      <c r="BQ214" t="s">
        <v>74</v>
      </c>
      <c r="BR214" t="s">
        <v>101</v>
      </c>
      <c r="BS214" t="s">
        <v>3683</v>
      </c>
      <c r="BT214" t="str">
        <f>HYPERLINK("https%3A%2F%2Fwww.webofscience.com%2Fwos%2Fwoscc%2Ffull-record%2FWOS:000247784400014","View Full Record in Web of Science")</f>
        <v>View Full Record in Web of Science</v>
      </c>
    </row>
    <row r="215" spans="1:72" x14ac:dyDescent="0.15">
      <c r="A215" t="s">
        <v>72</v>
      </c>
      <c r="B215" t="s">
        <v>3684</v>
      </c>
      <c r="C215" t="s">
        <v>74</v>
      </c>
      <c r="D215" t="s">
        <v>74</v>
      </c>
      <c r="E215" t="s">
        <v>74</v>
      </c>
      <c r="F215" t="s">
        <v>3685</v>
      </c>
      <c r="G215" t="s">
        <v>74</v>
      </c>
      <c r="H215" t="s">
        <v>74</v>
      </c>
      <c r="I215" t="s">
        <v>3686</v>
      </c>
      <c r="J215" t="s">
        <v>1881</v>
      </c>
      <c r="K215" t="s">
        <v>74</v>
      </c>
      <c r="L215" t="s">
        <v>74</v>
      </c>
      <c r="M215" t="s">
        <v>78</v>
      </c>
      <c r="N215" t="s">
        <v>514</v>
      </c>
      <c r="O215" t="s">
        <v>3669</v>
      </c>
      <c r="P215" t="s">
        <v>3670</v>
      </c>
      <c r="Q215" t="s">
        <v>3671</v>
      </c>
      <c r="R215" t="s">
        <v>74</v>
      </c>
      <c r="S215" t="s">
        <v>74</v>
      </c>
      <c r="T215" t="s">
        <v>3687</v>
      </c>
      <c r="U215" t="s">
        <v>3688</v>
      </c>
      <c r="V215" t="s">
        <v>3689</v>
      </c>
      <c r="W215" t="s">
        <v>3690</v>
      </c>
      <c r="X215" t="s">
        <v>3691</v>
      </c>
      <c r="Y215" t="s">
        <v>3692</v>
      </c>
      <c r="Z215" t="s">
        <v>3693</v>
      </c>
      <c r="AA215" t="s">
        <v>74</v>
      </c>
      <c r="AB215" t="s">
        <v>3694</v>
      </c>
      <c r="AC215" t="s">
        <v>74</v>
      </c>
      <c r="AD215" t="s">
        <v>74</v>
      </c>
      <c r="AE215" t="s">
        <v>74</v>
      </c>
      <c r="AF215" t="s">
        <v>74</v>
      </c>
      <c r="AG215">
        <v>25</v>
      </c>
      <c r="AH215">
        <v>14</v>
      </c>
      <c r="AI215">
        <v>16</v>
      </c>
      <c r="AJ215">
        <v>0</v>
      </c>
      <c r="AK215">
        <v>2</v>
      </c>
      <c r="AL215" t="s">
        <v>1890</v>
      </c>
      <c r="AM215" t="s">
        <v>1891</v>
      </c>
      <c r="AN215" t="s">
        <v>1892</v>
      </c>
      <c r="AO215" t="s">
        <v>1893</v>
      </c>
      <c r="AP215" t="s">
        <v>1894</v>
      </c>
      <c r="AQ215" t="s">
        <v>74</v>
      </c>
      <c r="AR215" t="s">
        <v>1895</v>
      </c>
      <c r="AS215" t="s">
        <v>1896</v>
      </c>
      <c r="AT215" t="s">
        <v>3318</v>
      </c>
      <c r="AU215">
        <v>2007</v>
      </c>
      <c r="AV215">
        <v>45</v>
      </c>
      <c r="AW215">
        <v>7</v>
      </c>
      <c r="AX215">
        <v>1</v>
      </c>
      <c r="AY215" t="s">
        <v>74</v>
      </c>
      <c r="AZ215" t="s">
        <v>74</v>
      </c>
      <c r="BA215" t="s">
        <v>74</v>
      </c>
      <c r="BB215">
        <v>2130</v>
      </c>
      <c r="BC215">
        <v>2138</v>
      </c>
      <c r="BD215" t="s">
        <v>74</v>
      </c>
      <c r="BE215" t="s">
        <v>3695</v>
      </c>
      <c r="BF215" t="str">
        <f>HYPERLINK("http://dx.doi.org/10.1109/TGRS.2007.898089","http://dx.doi.org/10.1109/TGRS.2007.898089")</f>
        <v>http://dx.doi.org/10.1109/TGRS.2007.898089</v>
      </c>
      <c r="BG215" t="s">
        <v>74</v>
      </c>
      <c r="BH215" t="s">
        <v>74</v>
      </c>
      <c r="BI215">
        <v>9</v>
      </c>
      <c r="BJ215" t="s">
        <v>1898</v>
      </c>
      <c r="BK215" t="s">
        <v>535</v>
      </c>
      <c r="BL215" t="s">
        <v>1899</v>
      </c>
      <c r="BM215" t="s">
        <v>3682</v>
      </c>
      <c r="BN215" t="s">
        <v>74</v>
      </c>
      <c r="BO215" t="s">
        <v>74</v>
      </c>
      <c r="BP215" t="s">
        <v>74</v>
      </c>
      <c r="BQ215" t="s">
        <v>74</v>
      </c>
      <c r="BR215" t="s">
        <v>101</v>
      </c>
      <c r="BS215" t="s">
        <v>3696</v>
      </c>
      <c r="BT215" t="str">
        <f>HYPERLINK("https%3A%2F%2Fwww.webofscience.com%2Fwos%2Fwoscc%2Ffull-record%2FWOS:000247784400024","View Full Record in Web of Science")</f>
        <v>View Full Record in Web of Science</v>
      </c>
    </row>
    <row r="216" spans="1:72" x14ac:dyDescent="0.15">
      <c r="A216" t="s">
        <v>72</v>
      </c>
      <c r="B216" t="s">
        <v>3697</v>
      </c>
      <c r="C216" t="s">
        <v>74</v>
      </c>
      <c r="D216" t="s">
        <v>74</v>
      </c>
      <c r="E216" t="s">
        <v>74</v>
      </c>
      <c r="F216" t="s">
        <v>3698</v>
      </c>
      <c r="G216" t="s">
        <v>74</v>
      </c>
      <c r="H216" t="s">
        <v>74</v>
      </c>
      <c r="I216" t="s">
        <v>3699</v>
      </c>
      <c r="J216" t="s">
        <v>3700</v>
      </c>
      <c r="K216" t="s">
        <v>74</v>
      </c>
      <c r="L216" t="s">
        <v>74</v>
      </c>
      <c r="M216" t="s">
        <v>107</v>
      </c>
      <c r="N216" t="s">
        <v>79</v>
      </c>
      <c r="O216" t="s">
        <v>74</v>
      </c>
      <c r="P216" t="s">
        <v>74</v>
      </c>
      <c r="Q216" t="s">
        <v>74</v>
      </c>
      <c r="R216" t="s">
        <v>74</v>
      </c>
      <c r="S216" t="s">
        <v>74</v>
      </c>
      <c r="T216" t="s">
        <v>3701</v>
      </c>
      <c r="U216" t="s">
        <v>3702</v>
      </c>
      <c r="V216" t="s">
        <v>3703</v>
      </c>
      <c r="W216" t="s">
        <v>3704</v>
      </c>
      <c r="X216" t="s">
        <v>3705</v>
      </c>
      <c r="Y216" t="s">
        <v>3706</v>
      </c>
      <c r="Z216" t="s">
        <v>3707</v>
      </c>
      <c r="AA216" t="s">
        <v>74</v>
      </c>
      <c r="AB216" t="s">
        <v>74</v>
      </c>
      <c r="AC216" t="s">
        <v>74</v>
      </c>
      <c r="AD216" t="s">
        <v>74</v>
      </c>
      <c r="AE216" t="s">
        <v>74</v>
      </c>
      <c r="AF216" t="s">
        <v>74</v>
      </c>
      <c r="AG216">
        <v>25</v>
      </c>
      <c r="AH216">
        <v>18</v>
      </c>
      <c r="AI216">
        <v>18</v>
      </c>
      <c r="AJ216">
        <v>0</v>
      </c>
      <c r="AK216">
        <v>2</v>
      </c>
      <c r="AL216" t="s">
        <v>3708</v>
      </c>
      <c r="AM216" t="s">
        <v>3709</v>
      </c>
      <c r="AN216" t="s">
        <v>3710</v>
      </c>
      <c r="AO216" t="s">
        <v>3711</v>
      </c>
      <c r="AP216" t="s">
        <v>74</v>
      </c>
      <c r="AQ216" t="s">
        <v>74</v>
      </c>
      <c r="AR216" t="s">
        <v>3712</v>
      </c>
      <c r="AS216" t="s">
        <v>3713</v>
      </c>
      <c r="AT216" t="s">
        <v>3355</v>
      </c>
      <c r="AU216">
        <v>2007</v>
      </c>
      <c r="AV216">
        <v>22</v>
      </c>
      <c r="AW216">
        <v>3</v>
      </c>
      <c r="AX216" t="s">
        <v>74</v>
      </c>
      <c r="AY216" t="s">
        <v>74</v>
      </c>
      <c r="AZ216" t="s">
        <v>74</v>
      </c>
      <c r="BA216" t="s">
        <v>74</v>
      </c>
      <c r="BB216">
        <v>23</v>
      </c>
      <c r="BC216">
        <v>35</v>
      </c>
      <c r="BD216" t="s">
        <v>74</v>
      </c>
      <c r="BE216" t="s">
        <v>74</v>
      </c>
      <c r="BF216" t="s">
        <v>74</v>
      </c>
      <c r="BG216" t="s">
        <v>74</v>
      </c>
      <c r="BH216" t="s">
        <v>74</v>
      </c>
      <c r="BI216">
        <v>13</v>
      </c>
      <c r="BJ216" t="s">
        <v>3714</v>
      </c>
      <c r="BK216" t="s">
        <v>98</v>
      </c>
      <c r="BL216" t="s">
        <v>3715</v>
      </c>
      <c r="BM216" t="s">
        <v>3716</v>
      </c>
      <c r="BN216" t="s">
        <v>74</v>
      </c>
      <c r="BO216" t="s">
        <v>74</v>
      </c>
      <c r="BP216" t="s">
        <v>74</v>
      </c>
      <c r="BQ216" t="s">
        <v>74</v>
      </c>
      <c r="BR216" t="s">
        <v>101</v>
      </c>
      <c r="BS216" t="s">
        <v>3717</v>
      </c>
      <c r="BT216" t="str">
        <f>HYPERLINK("https%3A%2F%2Fwww.webofscience.com%2Fwos%2Fwoscc%2Ffull-record%2FWOS:000248935000002","View Full Record in Web of Science")</f>
        <v>View Full Record in Web of Science</v>
      </c>
    </row>
    <row r="217" spans="1:72" x14ac:dyDescent="0.15">
      <c r="A217" t="s">
        <v>72</v>
      </c>
      <c r="B217" t="s">
        <v>3718</v>
      </c>
      <c r="C217" t="s">
        <v>74</v>
      </c>
      <c r="D217" t="s">
        <v>74</v>
      </c>
      <c r="E217" t="s">
        <v>74</v>
      </c>
      <c r="F217" t="s">
        <v>3719</v>
      </c>
      <c r="G217" t="s">
        <v>74</v>
      </c>
      <c r="H217" t="s">
        <v>74</v>
      </c>
      <c r="I217" t="s">
        <v>3720</v>
      </c>
      <c r="J217" t="s">
        <v>3721</v>
      </c>
      <c r="K217" t="s">
        <v>74</v>
      </c>
      <c r="L217" t="s">
        <v>74</v>
      </c>
      <c r="M217" t="s">
        <v>78</v>
      </c>
      <c r="N217" t="s">
        <v>79</v>
      </c>
      <c r="O217" t="s">
        <v>74</v>
      </c>
      <c r="P217" t="s">
        <v>74</v>
      </c>
      <c r="Q217" t="s">
        <v>74</v>
      </c>
      <c r="R217" t="s">
        <v>74</v>
      </c>
      <c r="S217" t="s">
        <v>74</v>
      </c>
      <c r="T217" t="s">
        <v>3722</v>
      </c>
      <c r="U217" t="s">
        <v>3723</v>
      </c>
      <c r="V217" t="s">
        <v>3724</v>
      </c>
      <c r="W217" t="s">
        <v>3725</v>
      </c>
      <c r="X217" t="s">
        <v>3726</v>
      </c>
      <c r="Y217" t="s">
        <v>3727</v>
      </c>
      <c r="Z217" t="s">
        <v>3728</v>
      </c>
      <c r="AA217" t="s">
        <v>3729</v>
      </c>
      <c r="AB217" t="s">
        <v>3730</v>
      </c>
      <c r="AC217" t="s">
        <v>74</v>
      </c>
      <c r="AD217" t="s">
        <v>74</v>
      </c>
      <c r="AE217" t="s">
        <v>74</v>
      </c>
      <c r="AF217" t="s">
        <v>74</v>
      </c>
      <c r="AG217">
        <v>57</v>
      </c>
      <c r="AH217">
        <v>222</v>
      </c>
      <c r="AI217">
        <v>253</v>
      </c>
      <c r="AJ217">
        <v>2</v>
      </c>
      <c r="AK217">
        <v>114</v>
      </c>
      <c r="AL217" t="s">
        <v>1202</v>
      </c>
      <c r="AM217" t="s">
        <v>1203</v>
      </c>
      <c r="AN217" t="s">
        <v>1204</v>
      </c>
      <c r="AO217" t="s">
        <v>3731</v>
      </c>
      <c r="AP217" t="s">
        <v>3732</v>
      </c>
      <c r="AQ217" t="s">
        <v>74</v>
      </c>
      <c r="AR217" t="s">
        <v>3733</v>
      </c>
      <c r="AS217" t="s">
        <v>3734</v>
      </c>
      <c r="AT217" t="s">
        <v>3318</v>
      </c>
      <c r="AU217">
        <v>2007</v>
      </c>
      <c r="AV217">
        <v>76</v>
      </c>
      <c r="AW217">
        <v>4</v>
      </c>
      <c r="AX217" t="s">
        <v>74</v>
      </c>
      <c r="AY217" t="s">
        <v>74</v>
      </c>
      <c r="AZ217" t="s">
        <v>74</v>
      </c>
      <c r="BA217" t="s">
        <v>74</v>
      </c>
      <c r="BB217">
        <v>826</v>
      </c>
      <c r="BC217">
        <v>836</v>
      </c>
      <c r="BD217" t="s">
        <v>74</v>
      </c>
      <c r="BE217" t="s">
        <v>3735</v>
      </c>
      <c r="BF217" t="str">
        <f>HYPERLINK("http://dx.doi.org/10.1111/j.1365-2656.2007.01238.x","http://dx.doi.org/10.1111/j.1365-2656.2007.01238.x")</f>
        <v>http://dx.doi.org/10.1111/j.1365-2656.2007.01238.x</v>
      </c>
      <c r="BG217" t="s">
        <v>74</v>
      </c>
      <c r="BH217" t="s">
        <v>74</v>
      </c>
      <c r="BI217">
        <v>11</v>
      </c>
      <c r="BJ217" t="s">
        <v>2154</v>
      </c>
      <c r="BK217" t="s">
        <v>98</v>
      </c>
      <c r="BL217" t="s">
        <v>2155</v>
      </c>
      <c r="BM217" t="s">
        <v>3736</v>
      </c>
      <c r="BN217">
        <v>17584388</v>
      </c>
      <c r="BO217" t="s">
        <v>154</v>
      </c>
      <c r="BP217" t="s">
        <v>74</v>
      </c>
      <c r="BQ217" t="s">
        <v>74</v>
      </c>
      <c r="BR217" t="s">
        <v>101</v>
      </c>
      <c r="BS217" t="s">
        <v>3737</v>
      </c>
      <c r="BT217" t="str">
        <f>HYPERLINK("https%3A%2F%2Fwww.webofscience.com%2Fwos%2Fwoscc%2Ffull-record%2FWOS:000247398800021","View Full Record in Web of Science")</f>
        <v>View Full Record in Web of Science</v>
      </c>
    </row>
    <row r="218" spans="1:72" x14ac:dyDescent="0.15">
      <c r="A218" t="s">
        <v>72</v>
      </c>
      <c r="B218" t="s">
        <v>3738</v>
      </c>
      <c r="C218" t="s">
        <v>74</v>
      </c>
      <c r="D218" t="s">
        <v>74</v>
      </c>
      <c r="E218" t="s">
        <v>74</v>
      </c>
      <c r="F218" t="s">
        <v>3739</v>
      </c>
      <c r="G218" t="s">
        <v>74</v>
      </c>
      <c r="H218" t="s">
        <v>74</v>
      </c>
      <c r="I218" t="s">
        <v>3740</v>
      </c>
      <c r="J218" t="s">
        <v>3741</v>
      </c>
      <c r="K218" t="s">
        <v>74</v>
      </c>
      <c r="L218" t="s">
        <v>74</v>
      </c>
      <c r="M218" t="s">
        <v>78</v>
      </c>
      <c r="N218" t="s">
        <v>79</v>
      </c>
      <c r="O218" t="s">
        <v>74</v>
      </c>
      <c r="P218" t="s">
        <v>74</v>
      </c>
      <c r="Q218" t="s">
        <v>74</v>
      </c>
      <c r="R218" t="s">
        <v>74</v>
      </c>
      <c r="S218" t="s">
        <v>74</v>
      </c>
      <c r="T218" t="s">
        <v>74</v>
      </c>
      <c r="U218" t="s">
        <v>74</v>
      </c>
      <c r="V218" t="s">
        <v>3742</v>
      </c>
      <c r="W218" t="s">
        <v>3743</v>
      </c>
      <c r="X218" t="s">
        <v>3744</v>
      </c>
      <c r="Y218" t="s">
        <v>3745</v>
      </c>
      <c r="Z218" t="s">
        <v>3746</v>
      </c>
      <c r="AA218" t="s">
        <v>74</v>
      </c>
      <c r="AB218" t="s">
        <v>74</v>
      </c>
      <c r="AC218" t="s">
        <v>74</v>
      </c>
      <c r="AD218" t="s">
        <v>74</v>
      </c>
      <c r="AE218" t="s">
        <v>74</v>
      </c>
      <c r="AF218" t="s">
        <v>74</v>
      </c>
      <c r="AG218">
        <v>10</v>
      </c>
      <c r="AH218">
        <v>59</v>
      </c>
      <c r="AI218">
        <v>65</v>
      </c>
      <c r="AJ218">
        <v>0</v>
      </c>
      <c r="AK218">
        <v>14</v>
      </c>
      <c r="AL218" t="s">
        <v>567</v>
      </c>
      <c r="AM218" t="s">
        <v>568</v>
      </c>
      <c r="AN218" t="s">
        <v>569</v>
      </c>
      <c r="AO218" t="s">
        <v>3747</v>
      </c>
      <c r="AP218" t="s">
        <v>3748</v>
      </c>
      <c r="AQ218" t="s">
        <v>74</v>
      </c>
      <c r="AR218" t="s">
        <v>3749</v>
      </c>
      <c r="AS218" t="s">
        <v>3750</v>
      </c>
      <c r="AT218" t="s">
        <v>3318</v>
      </c>
      <c r="AU218">
        <v>2007</v>
      </c>
      <c r="AV218">
        <v>24</v>
      </c>
      <c r="AW218">
        <v>7</v>
      </c>
      <c r="AX218" t="s">
        <v>74</v>
      </c>
      <c r="AY218" t="s">
        <v>74</v>
      </c>
      <c r="AZ218" t="s">
        <v>74</v>
      </c>
      <c r="BA218" t="s">
        <v>74</v>
      </c>
      <c r="BB218">
        <v>1301</v>
      </c>
      <c r="BC218">
        <v>1308</v>
      </c>
      <c r="BD218" t="s">
        <v>74</v>
      </c>
      <c r="BE218" t="s">
        <v>3751</v>
      </c>
      <c r="BF218" t="str">
        <f>HYPERLINK("http://dx.doi.org/10.1175/JTECH2026.1","http://dx.doi.org/10.1175/JTECH2026.1")</f>
        <v>http://dx.doi.org/10.1175/JTECH2026.1</v>
      </c>
      <c r="BG218" t="s">
        <v>74</v>
      </c>
      <c r="BH218" t="s">
        <v>74</v>
      </c>
      <c r="BI218">
        <v>8</v>
      </c>
      <c r="BJ218" t="s">
        <v>3752</v>
      </c>
      <c r="BK218" t="s">
        <v>98</v>
      </c>
      <c r="BL218" t="s">
        <v>3753</v>
      </c>
      <c r="BM218" t="s">
        <v>3754</v>
      </c>
      <c r="BN218" t="s">
        <v>74</v>
      </c>
      <c r="BO218" t="s">
        <v>577</v>
      </c>
      <c r="BP218" t="s">
        <v>74</v>
      </c>
      <c r="BQ218" t="s">
        <v>74</v>
      </c>
      <c r="BR218" t="s">
        <v>101</v>
      </c>
      <c r="BS218" t="s">
        <v>3755</v>
      </c>
      <c r="BT218" t="str">
        <f>HYPERLINK("https%3A%2F%2Fwww.webofscience.com%2Fwos%2Fwoscc%2Ffull-record%2FWOS:000248553100010","View Full Record in Web of Science")</f>
        <v>View Full Record in Web of Science</v>
      </c>
    </row>
    <row r="219" spans="1:72" x14ac:dyDescent="0.15">
      <c r="A219" t="s">
        <v>72</v>
      </c>
      <c r="B219" t="s">
        <v>3756</v>
      </c>
      <c r="C219" t="s">
        <v>74</v>
      </c>
      <c r="D219" t="s">
        <v>74</v>
      </c>
      <c r="E219" t="s">
        <v>74</v>
      </c>
      <c r="F219" t="s">
        <v>3757</v>
      </c>
      <c r="G219" t="s">
        <v>74</v>
      </c>
      <c r="H219" t="s">
        <v>74</v>
      </c>
      <c r="I219" t="s">
        <v>3758</v>
      </c>
      <c r="J219" t="s">
        <v>558</v>
      </c>
      <c r="K219" t="s">
        <v>74</v>
      </c>
      <c r="L219" t="s">
        <v>74</v>
      </c>
      <c r="M219" t="s">
        <v>78</v>
      </c>
      <c r="N219" t="s">
        <v>514</v>
      </c>
      <c r="O219" t="s">
        <v>3759</v>
      </c>
      <c r="P219" t="s">
        <v>3760</v>
      </c>
      <c r="Q219" t="s">
        <v>3761</v>
      </c>
      <c r="R219" t="s">
        <v>74</v>
      </c>
      <c r="S219" t="s">
        <v>74</v>
      </c>
      <c r="T219" t="s">
        <v>74</v>
      </c>
      <c r="U219" t="s">
        <v>3762</v>
      </c>
      <c r="V219" t="s">
        <v>3763</v>
      </c>
      <c r="W219" t="s">
        <v>3764</v>
      </c>
      <c r="X219" t="s">
        <v>3765</v>
      </c>
      <c r="Y219" t="s">
        <v>3766</v>
      </c>
      <c r="Z219" t="s">
        <v>3767</v>
      </c>
      <c r="AA219" t="s">
        <v>3768</v>
      </c>
      <c r="AB219" t="s">
        <v>3769</v>
      </c>
      <c r="AC219" t="s">
        <v>74</v>
      </c>
      <c r="AD219" t="s">
        <v>74</v>
      </c>
      <c r="AE219" t="s">
        <v>74</v>
      </c>
      <c r="AF219" t="s">
        <v>74</v>
      </c>
      <c r="AG219">
        <v>30</v>
      </c>
      <c r="AH219">
        <v>4</v>
      </c>
      <c r="AI219">
        <v>4</v>
      </c>
      <c r="AJ219">
        <v>0</v>
      </c>
      <c r="AK219">
        <v>2</v>
      </c>
      <c r="AL219" t="s">
        <v>567</v>
      </c>
      <c r="AM219" t="s">
        <v>568</v>
      </c>
      <c r="AN219" t="s">
        <v>3770</v>
      </c>
      <c r="AO219" t="s">
        <v>570</v>
      </c>
      <c r="AP219" t="s">
        <v>571</v>
      </c>
      <c r="AQ219" t="s">
        <v>74</v>
      </c>
      <c r="AR219" t="s">
        <v>572</v>
      </c>
      <c r="AS219" t="s">
        <v>573</v>
      </c>
      <c r="AT219" t="s">
        <v>3608</v>
      </c>
      <c r="AU219">
        <v>2007</v>
      </c>
      <c r="AV219">
        <v>20</v>
      </c>
      <c r="AW219">
        <v>13</v>
      </c>
      <c r="AX219" t="s">
        <v>74</v>
      </c>
      <c r="AY219" t="s">
        <v>74</v>
      </c>
      <c r="AZ219" t="s">
        <v>74</v>
      </c>
      <c r="BA219" t="s">
        <v>74</v>
      </c>
      <c r="BB219">
        <v>3106</v>
      </c>
      <c r="BC219">
        <v>3130</v>
      </c>
      <c r="BD219" t="s">
        <v>74</v>
      </c>
      <c r="BE219" t="s">
        <v>3771</v>
      </c>
      <c r="BF219" t="str">
        <f>HYPERLINK("http://dx.doi.org/10.1175/JCLI4160.1","http://dx.doi.org/10.1175/JCLI4160.1")</f>
        <v>http://dx.doi.org/10.1175/JCLI4160.1</v>
      </c>
      <c r="BG219" t="s">
        <v>74</v>
      </c>
      <c r="BH219" t="s">
        <v>74</v>
      </c>
      <c r="BI219">
        <v>25</v>
      </c>
      <c r="BJ219" t="s">
        <v>435</v>
      </c>
      <c r="BK219" t="s">
        <v>535</v>
      </c>
      <c r="BL219" t="s">
        <v>435</v>
      </c>
      <c r="BM219" t="s">
        <v>3772</v>
      </c>
      <c r="BN219" t="s">
        <v>74</v>
      </c>
      <c r="BO219" t="s">
        <v>577</v>
      </c>
      <c r="BP219" t="s">
        <v>74</v>
      </c>
      <c r="BQ219" t="s">
        <v>74</v>
      </c>
      <c r="BR219" t="s">
        <v>101</v>
      </c>
      <c r="BS219" t="s">
        <v>3773</v>
      </c>
      <c r="BT219" t="str">
        <f>HYPERLINK("https%3A%2F%2Fwww.webofscience.com%2Fwos%2Fwoscc%2Ffull-record%2FWOS:000247648900014","View Full Record in Web of Science")</f>
        <v>View Full Record in Web of Science</v>
      </c>
    </row>
    <row r="220" spans="1:72" x14ac:dyDescent="0.15">
      <c r="A220" t="s">
        <v>72</v>
      </c>
      <c r="B220" t="s">
        <v>3774</v>
      </c>
      <c r="C220" t="s">
        <v>74</v>
      </c>
      <c r="D220" t="s">
        <v>74</v>
      </c>
      <c r="E220" t="s">
        <v>74</v>
      </c>
      <c r="F220" t="s">
        <v>3775</v>
      </c>
      <c r="G220" t="s">
        <v>74</v>
      </c>
      <c r="H220" t="s">
        <v>74</v>
      </c>
      <c r="I220" t="s">
        <v>3776</v>
      </c>
      <c r="J220" t="s">
        <v>3777</v>
      </c>
      <c r="K220" t="s">
        <v>74</v>
      </c>
      <c r="L220" t="s">
        <v>74</v>
      </c>
      <c r="M220" t="s">
        <v>78</v>
      </c>
      <c r="N220" t="s">
        <v>79</v>
      </c>
      <c r="O220" t="s">
        <v>74</v>
      </c>
      <c r="P220" t="s">
        <v>74</v>
      </c>
      <c r="Q220" t="s">
        <v>74</v>
      </c>
      <c r="R220" t="s">
        <v>74</v>
      </c>
      <c r="S220" t="s">
        <v>74</v>
      </c>
      <c r="T220" t="s">
        <v>3778</v>
      </c>
      <c r="U220" t="s">
        <v>3779</v>
      </c>
      <c r="V220" t="s">
        <v>3780</v>
      </c>
      <c r="W220" t="s">
        <v>3781</v>
      </c>
      <c r="X220" t="s">
        <v>3782</v>
      </c>
      <c r="Y220" t="s">
        <v>3783</v>
      </c>
      <c r="Z220" t="s">
        <v>3784</v>
      </c>
      <c r="AA220" t="s">
        <v>3785</v>
      </c>
      <c r="AB220" t="s">
        <v>3786</v>
      </c>
      <c r="AC220" t="s">
        <v>74</v>
      </c>
      <c r="AD220" t="s">
        <v>74</v>
      </c>
      <c r="AE220" t="s">
        <v>74</v>
      </c>
      <c r="AF220" t="s">
        <v>74</v>
      </c>
      <c r="AG220">
        <v>47</v>
      </c>
      <c r="AH220">
        <v>94</v>
      </c>
      <c r="AI220">
        <v>109</v>
      </c>
      <c r="AJ220">
        <v>0</v>
      </c>
      <c r="AK220">
        <v>30</v>
      </c>
      <c r="AL220" t="s">
        <v>1503</v>
      </c>
      <c r="AM220" t="s">
        <v>1504</v>
      </c>
      <c r="AN220" t="s">
        <v>1505</v>
      </c>
      <c r="AO220" t="s">
        <v>3787</v>
      </c>
      <c r="AP220" t="s">
        <v>3788</v>
      </c>
      <c r="AQ220" t="s">
        <v>74</v>
      </c>
      <c r="AR220" t="s">
        <v>3789</v>
      </c>
      <c r="AS220" t="s">
        <v>3790</v>
      </c>
      <c r="AT220" t="s">
        <v>3318</v>
      </c>
      <c r="AU220">
        <v>2007</v>
      </c>
      <c r="AV220">
        <v>53</v>
      </c>
      <c r="AW220">
        <v>7</v>
      </c>
      <c r="AX220" t="s">
        <v>74</v>
      </c>
      <c r="AY220" t="s">
        <v>74</v>
      </c>
      <c r="AZ220" t="s">
        <v>74</v>
      </c>
      <c r="BA220" t="s">
        <v>74</v>
      </c>
      <c r="BB220">
        <v>656</v>
      </c>
      <c r="BC220">
        <v>667</v>
      </c>
      <c r="BD220" t="s">
        <v>74</v>
      </c>
      <c r="BE220" t="s">
        <v>3791</v>
      </c>
      <c r="BF220" t="str">
        <f>HYPERLINK("http://dx.doi.org/10.1016/j.jinsphys.2007.04.006","http://dx.doi.org/10.1016/j.jinsphys.2007.04.006")</f>
        <v>http://dx.doi.org/10.1016/j.jinsphys.2007.04.006</v>
      </c>
      <c r="BG220" t="s">
        <v>74</v>
      </c>
      <c r="BH220" t="s">
        <v>74</v>
      </c>
      <c r="BI220">
        <v>12</v>
      </c>
      <c r="BJ220" t="s">
        <v>3792</v>
      </c>
      <c r="BK220" t="s">
        <v>98</v>
      </c>
      <c r="BL220" t="s">
        <v>3792</v>
      </c>
      <c r="BM220" t="s">
        <v>3793</v>
      </c>
      <c r="BN220">
        <v>17543329</v>
      </c>
      <c r="BO220" t="s">
        <v>74</v>
      </c>
      <c r="BP220" t="s">
        <v>74</v>
      </c>
      <c r="BQ220" t="s">
        <v>74</v>
      </c>
      <c r="BR220" t="s">
        <v>101</v>
      </c>
      <c r="BS220" t="s">
        <v>3794</v>
      </c>
      <c r="BT220" t="str">
        <f>HYPERLINK("https%3A%2F%2Fwww.webofscience.com%2Fwos%2Fwoscc%2Ffull-record%2FWOS:000248863600004","View Full Record in Web of Science")</f>
        <v>View Full Record in Web of Science</v>
      </c>
    </row>
    <row r="221" spans="1:72" x14ac:dyDescent="0.15">
      <c r="A221" t="s">
        <v>72</v>
      </c>
      <c r="B221" t="s">
        <v>3795</v>
      </c>
      <c r="C221" t="s">
        <v>74</v>
      </c>
      <c r="D221" t="s">
        <v>74</v>
      </c>
      <c r="E221" t="s">
        <v>74</v>
      </c>
      <c r="F221" t="s">
        <v>3796</v>
      </c>
      <c r="G221" t="s">
        <v>74</v>
      </c>
      <c r="H221" t="s">
        <v>74</v>
      </c>
      <c r="I221" t="s">
        <v>3797</v>
      </c>
      <c r="J221" t="s">
        <v>3798</v>
      </c>
      <c r="K221" t="s">
        <v>74</v>
      </c>
      <c r="L221" t="s">
        <v>74</v>
      </c>
      <c r="M221" t="s">
        <v>78</v>
      </c>
      <c r="N221" t="s">
        <v>79</v>
      </c>
      <c r="O221" t="s">
        <v>74</v>
      </c>
      <c r="P221" t="s">
        <v>74</v>
      </c>
      <c r="Q221" t="s">
        <v>74</v>
      </c>
      <c r="R221" t="s">
        <v>74</v>
      </c>
      <c r="S221" t="s">
        <v>74</v>
      </c>
      <c r="T221" t="s">
        <v>74</v>
      </c>
      <c r="U221" t="s">
        <v>3799</v>
      </c>
      <c r="V221" t="s">
        <v>3800</v>
      </c>
      <c r="W221" t="s">
        <v>3801</v>
      </c>
      <c r="X221" t="s">
        <v>3802</v>
      </c>
      <c r="Y221" t="s">
        <v>3803</v>
      </c>
      <c r="Z221" t="s">
        <v>3804</v>
      </c>
      <c r="AA221" t="s">
        <v>74</v>
      </c>
      <c r="AB221" t="s">
        <v>3805</v>
      </c>
      <c r="AC221" t="s">
        <v>74</v>
      </c>
      <c r="AD221" t="s">
        <v>74</v>
      </c>
      <c r="AE221" t="s">
        <v>74</v>
      </c>
      <c r="AF221" t="s">
        <v>74</v>
      </c>
      <c r="AG221">
        <v>87</v>
      </c>
      <c r="AH221">
        <v>44</v>
      </c>
      <c r="AI221">
        <v>50</v>
      </c>
      <c r="AJ221">
        <v>0</v>
      </c>
      <c r="AK221">
        <v>22</v>
      </c>
      <c r="AL221" t="s">
        <v>3806</v>
      </c>
      <c r="AM221" t="s">
        <v>3807</v>
      </c>
      <c r="AN221" t="s">
        <v>3808</v>
      </c>
      <c r="AO221" t="s">
        <v>3809</v>
      </c>
      <c r="AP221" t="s">
        <v>3810</v>
      </c>
      <c r="AQ221" t="s">
        <v>74</v>
      </c>
      <c r="AR221" t="s">
        <v>3811</v>
      </c>
      <c r="AS221" t="s">
        <v>3812</v>
      </c>
      <c r="AT221" t="s">
        <v>3318</v>
      </c>
      <c r="AU221">
        <v>2007</v>
      </c>
      <c r="AV221">
        <v>65</v>
      </c>
      <c r="AW221">
        <v>4</v>
      </c>
      <c r="AX221" t="s">
        <v>74</v>
      </c>
      <c r="AY221" t="s">
        <v>74</v>
      </c>
      <c r="AZ221" t="s">
        <v>74</v>
      </c>
      <c r="BA221" t="s">
        <v>74</v>
      </c>
      <c r="BB221">
        <v>561</v>
      </c>
      <c r="BC221">
        <v>588</v>
      </c>
      <c r="BD221" t="s">
        <v>74</v>
      </c>
      <c r="BE221" t="s">
        <v>3813</v>
      </c>
      <c r="BF221" t="str">
        <f>HYPERLINK("http://dx.doi.org/10.1357/002224007782689094","http://dx.doi.org/10.1357/002224007782689094")</f>
        <v>http://dx.doi.org/10.1357/002224007782689094</v>
      </c>
      <c r="BG221" t="s">
        <v>74</v>
      </c>
      <c r="BH221" t="s">
        <v>74</v>
      </c>
      <c r="BI221">
        <v>28</v>
      </c>
      <c r="BJ221" t="s">
        <v>221</v>
      </c>
      <c r="BK221" t="s">
        <v>98</v>
      </c>
      <c r="BL221" t="s">
        <v>221</v>
      </c>
      <c r="BM221" t="s">
        <v>3814</v>
      </c>
      <c r="BN221" t="s">
        <v>74</v>
      </c>
      <c r="BO221" t="s">
        <v>74</v>
      </c>
      <c r="BP221" t="s">
        <v>74</v>
      </c>
      <c r="BQ221" t="s">
        <v>74</v>
      </c>
      <c r="BR221" t="s">
        <v>101</v>
      </c>
      <c r="BS221" t="s">
        <v>3815</v>
      </c>
      <c r="BT221" t="str">
        <f>HYPERLINK("https%3A%2F%2Fwww.webofscience.com%2Fwos%2Fwoscc%2Ffull-record%2FWOS:000251377900005","View Full Record in Web of Science")</f>
        <v>View Full Record in Web of Science</v>
      </c>
    </row>
    <row r="222" spans="1:72" x14ac:dyDescent="0.15">
      <c r="A222" t="s">
        <v>72</v>
      </c>
      <c r="B222" t="s">
        <v>3816</v>
      </c>
      <c r="C222" t="s">
        <v>74</v>
      </c>
      <c r="D222" t="s">
        <v>74</v>
      </c>
      <c r="E222" t="s">
        <v>74</v>
      </c>
      <c r="F222" t="s">
        <v>3817</v>
      </c>
      <c r="G222" t="s">
        <v>74</v>
      </c>
      <c r="H222" t="s">
        <v>74</v>
      </c>
      <c r="I222" t="s">
        <v>3818</v>
      </c>
      <c r="J222" t="s">
        <v>3819</v>
      </c>
      <c r="K222" t="s">
        <v>74</v>
      </c>
      <c r="L222" t="s">
        <v>74</v>
      </c>
      <c r="M222" t="s">
        <v>78</v>
      </c>
      <c r="N222" t="s">
        <v>248</v>
      </c>
      <c r="O222" t="s">
        <v>74</v>
      </c>
      <c r="P222" t="s">
        <v>74</v>
      </c>
      <c r="Q222" t="s">
        <v>74</v>
      </c>
      <c r="R222" t="s">
        <v>74</v>
      </c>
      <c r="S222" t="s">
        <v>74</v>
      </c>
      <c r="T222" t="s">
        <v>3820</v>
      </c>
      <c r="U222" t="s">
        <v>3821</v>
      </c>
      <c r="V222" t="s">
        <v>3822</v>
      </c>
      <c r="W222" t="s">
        <v>3823</v>
      </c>
      <c r="X222" t="s">
        <v>3824</v>
      </c>
      <c r="Y222" t="s">
        <v>3825</v>
      </c>
      <c r="Z222" t="s">
        <v>3826</v>
      </c>
      <c r="AA222" t="s">
        <v>3827</v>
      </c>
      <c r="AB222" t="s">
        <v>3828</v>
      </c>
      <c r="AC222" t="s">
        <v>74</v>
      </c>
      <c r="AD222" t="s">
        <v>74</v>
      </c>
      <c r="AE222" t="s">
        <v>74</v>
      </c>
      <c r="AF222" t="s">
        <v>74</v>
      </c>
      <c r="AG222">
        <v>110</v>
      </c>
      <c r="AH222">
        <v>14</v>
      </c>
      <c r="AI222">
        <v>15</v>
      </c>
      <c r="AJ222">
        <v>1</v>
      </c>
      <c r="AK222">
        <v>35</v>
      </c>
      <c r="AL222" t="s">
        <v>1592</v>
      </c>
      <c r="AM222" t="s">
        <v>2052</v>
      </c>
      <c r="AN222" t="s">
        <v>2053</v>
      </c>
      <c r="AO222" t="s">
        <v>3829</v>
      </c>
      <c r="AP222" t="s">
        <v>3830</v>
      </c>
      <c r="AQ222" t="s">
        <v>74</v>
      </c>
      <c r="AR222" t="s">
        <v>3831</v>
      </c>
      <c r="AS222" t="s">
        <v>3832</v>
      </c>
      <c r="AT222" t="s">
        <v>3318</v>
      </c>
      <c r="AU222">
        <v>2007</v>
      </c>
      <c r="AV222">
        <v>38</v>
      </c>
      <c r="AW222">
        <v>1</v>
      </c>
      <c r="AX222" t="s">
        <v>74</v>
      </c>
      <c r="AY222" t="s">
        <v>74</v>
      </c>
      <c r="AZ222" t="s">
        <v>74</v>
      </c>
      <c r="BA222" t="s">
        <v>74</v>
      </c>
      <c r="BB222">
        <v>25</v>
      </c>
      <c r="BC222">
        <v>47</v>
      </c>
      <c r="BD222" t="s">
        <v>74</v>
      </c>
      <c r="BE222" t="s">
        <v>3833</v>
      </c>
      <c r="BF222" t="str">
        <f>HYPERLINK("http://dx.doi.org/10.1007/s10933-006-9062-1","http://dx.doi.org/10.1007/s10933-006-9062-1")</f>
        <v>http://dx.doi.org/10.1007/s10933-006-9062-1</v>
      </c>
      <c r="BG222" t="s">
        <v>74</v>
      </c>
      <c r="BH222" t="s">
        <v>74</v>
      </c>
      <c r="BI222">
        <v>23</v>
      </c>
      <c r="BJ222" t="s">
        <v>3834</v>
      </c>
      <c r="BK222" t="s">
        <v>98</v>
      </c>
      <c r="BL222" t="s">
        <v>3835</v>
      </c>
      <c r="BM222" t="s">
        <v>3836</v>
      </c>
      <c r="BN222" t="s">
        <v>74</v>
      </c>
      <c r="BO222" t="s">
        <v>74</v>
      </c>
      <c r="BP222" t="s">
        <v>74</v>
      </c>
      <c r="BQ222" t="s">
        <v>74</v>
      </c>
      <c r="BR222" t="s">
        <v>101</v>
      </c>
      <c r="BS222" t="s">
        <v>3837</v>
      </c>
      <c r="BT222" t="str">
        <f>HYPERLINK("https%3A%2F%2Fwww.webofscience.com%2Fwos%2Fwoscc%2Ffull-record%2FWOS:000247530100003","View Full Record in Web of Science")</f>
        <v>View Full Record in Web of Science</v>
      </c>
    </row>
    <row r="223" spans="1:72" x14ac:dyDescent="0.15">
      <c r="A223" t="s">
        <v>72</v>
      </c>
      <c r="B223" t="s">
        <v>3838</v>
      </c>
      <c r="C223" t="s">
        <v>74</v>
      </c>
      <c r="D223" t="s">
        <v>74</v>
      </c>
      <c r="E223" t="s">
        <v>74</v>
      </c>
      <c r="F223" t="s">
        <v>3839</v>
      </c>
      <c r="G223" t="s">
        <v>74</v>
      </c>
      <c r="H223" t="s">
        <v>74</v>
      </c>
      <c r="I223" t="s">
        <v>3840</v>
      </c>
      <c r="J223" t="s">
        <v>2064</v>
      </c>
      <c r="K223" t="s">
        <v>74</v>
      </c>
      <c r="L223" t="s">
        <v>74</v>
      </c>
      <c r="M223" t="s">
        <v>78</v>
      </c>
      <c r="N223" t="s">
        <v>79</v>
      </c>
      <c r="O223" t="s">
        <v>74</v>
      </c>
      <c r="P223" t="s">
        <v>74</v>
      </c>
      <c r="Q223" t="s">
        <v>74</v>
      </c>
      <c r="R223" t="s">
        <v>74</v>
      </c>
      <c r="S223" t="s">
        <v>74</v>
      </c>
      <c r="T223" t="s">
        <v>74</v>
      </c>
      <c r="U223" t="s">
        <v>3841</v>
      </c>
      <c r="V223" t="s">
        <v>3842</v>
      </c>
      <c r="W223" t="s">
        <v>3843</v>
      </c>
      <c r="X223" t="s">
        <v>207</v>
      </c>
      <c r="Y223" t="s">
        <v>3844</v>
      </c>
      <c r="Z223" t="s">
        <v>3845</v>
      </c>
      <c r="AA223" t="s">
        <v>3846</v>
      </c>
      <c r="AB223" t="s">
        <v>3847</v>
      </c>
      <c r="AC223" t="s">
        <v>3848</v>
      </c>
      <c r="AD223" t="s">
        <v>140</v>
      </c>
      <c r="AE223" t="s">
        <v>74</v>
      </c>
      <c r="AF223" t="s">
        <v>74</v>
      </c>
      <c r="AG223">
        <v>18</v>
      </c>
      <c r="AH223">
        <v>4</v>
      </c>
      <c r="AI223">
        <v>5</v>
      </c>
      <c r="AJ223">
        <v>0</v>
      </c>
      <c r="AK223">
        <v>3</v>
      </c>
      <c r="AL223" t="s">
        <v>567</v>
      </c>
      <c r="AM223" t="s">
        <v>568</v>
      </c>
      <c r="AN223" t="s">
        <v>569</v>
      </c>
      <c r="AO223" t="s">
        <v>2071</v>
      </c>
      <c r="AP223" t="s">
        <v>2072</v>
      </c>
      <c r="AQ223" t="s">
        <v>74</v>
      </c>
      <c r="AR223" t="s">
        <v>2073</v>
      </c>
      <c r="AS223" t="s">
        <v>2074</v>
      </c>
      <c r="AT223" t="s">
        <v>3318</v>
      </c>
      <c r="AU223">
        <v>2007</v>
      </c>
      <c r="AV223">
        <v>37</v>
      </c>
      <c r="AW223">
        <v>7</v>
      </c>
      <c r="AX223" t="s">
        <v>74</v>
      </c>
      <c r="AY223" t="s">
        <v>74</v>
      </c>
      <c r="AZ223" t="s">
        <v>74</v>
      </c>
      <c r="BA223" t="s">
        <v>74</v>
      </c>
      <c r="BB223">
        <v>1778</v>
      </c>
      <c r="BC223">
        <v>1792</v>
      </c>
      <c r="BD223" t="s">
        <v>74</v>
      </c>
      <c r="BE223" t="s">
        <v>3849</v>
      </c>
      <c r="BF223" t="str">
        <f>HYPERLINK("http://dx.doi.org/10.1175/JPO3093.1","http://dx.doi.org/10.1175/JPO3093.1")</f>
        <v>http://dx.doi.org/10.1175/JPO3093.1</v>
      </c>
      <c r="BG223" t="s">
        <v>74</v>
      </c>
      <c r="BH223" t="s">
        <v>74</v>
      </c>
      <c r="BI223">
        <v>15</v>
      </c>
      <c r="BJ223" t="s">
        <v>221</v>
      </c>
      <c r="BK223" t="s">
        <v>98</v>
      </c>
      <c r="BL223" t="s">
        <v>221</v>
      </c>
      <c r="BM223" t="s">
        <v>3850</v>
      </c>
      <c r="BN223" t="s">
        <v>74</v>
      </c>
      <c r="BO223" t="s">
        <v>2975</v>
      </c>
      <c r="BP223" t="s">
        <v>74</v>
      </c>
      <c r="BQ223" t="s">
        <v>74</v>
      </c>
      <c r="BR223" t="s">
        <v>101</v>
      </c>
      <c r="BS223" t="s">
        <v>3851</v>
      </c>
      <c r="BT223" t="str">
        <f>HYPERLINK("https%3A%2F%2Fwww.webofscience.com%2Fwos%2Fwoscc%2Ffull-record%2FWOS:000248552200003","View Full Record in Web of Science")</f>
        <v>View Full Record in Web of Science</v>
      </c>
    </row>
    <row r="224" spans="1:72" x14ac:dyDescent="0.15">
      <c r="A224" t="s">
        <v>72</v>
      </c>
      <c r="B224" t="s">
        <v>3852</v>
      </c>
      <c r="C224" t="s">
        <v>74</v>
      </c>
      <c r="D224" t="s">
        <v>74</v>
      </c>
      <c r="E224" t="s">
        <v>74</v>
      </c>
      <c r="F224" t="s">
        <v>3853</v>
      </c>
      <c r="G224" t="s">
        <v>74</v>
      </c>
      <c r="H224" t="s">
        <v>74</v>
      </c>
      <c r="I224" t="s">
        <v>3854</v>
      </c>
      <c r="J224" t="s">
        <v>2064</v>
      </c>
      <c r="K224" t="s">
        <v>74</v>
      </c>
      <c r="L224" t="s">
        <v>74</v>
      </c>
      <c r="M224" t="s">
        <v>78</v>
      </c>
      <c r="N224" t="s">
        <v>79</v>
      </c>
      <c r="O224" t="s">
        <v>74</v>
      </c>
      <c r="P224" t="s">
        <v>74</v>
      </c>
      <c r="Q224" t="s">
        <v>74</v>
      </c>
      <c r="R224" t="s">
        <v>74</v>
      </c>
      <c r="S224" t="s">
        <v>74</v>
      </c>
      <c r="T224" t="s">
        <v>74</v>
      </c>
      <c r="U224" t="s">
        <v>3855</v>
      </c>
      <c r="V224" t="s">
        <v>3856</v>
      </c>
      <c r="W224" t="s">
        <v>3857</v>
      </c>
      <c r="X224" t="s">
        <v>3858</v>
      </c>
      <c r="Y224" t="s">
        <v>3859</v>
      </c>
      <c r="Z224" t="s">
        <v>3860</v>
      </c>
      <c r="AA224" t="s">
        <v>3861</v>
      </c>
      <c r="AB224" t="s">
        <v>3862</v>
      </c>
      <c r="AC224" t="s">
        <v>74</v>
      </c>
      <c r="AD224" t="s">
        <v>74</v>
      </c>
      <c r="AE224" t="s">
        <v>74</v>
      </c>
      <c r="AF224" t="s">
        <v>74</v>
      </c>
      <c r="AG224">
        <v>58</v>
      </c>
      <c r="AH224">
        <v>66</v>
      </c>
      <c r="AI224">
        <v>71</v>
      </c>
      <c r="AJ224">
        <v>0</v>
      </c>
      <c r="AK224">
        <v>15</v>
      </c>
      <c r="AL224" t="s">
        <v>567</v>
      </c>
      <c r="AM224" t="s">
        <v>568</v>
      </c>
      <c r="AN224" t="s">
        <v>3770</v>
      </c>
      <c r="AO224" t="s">
        <v>2071</v>
      </c>
      <c r="AP224" t="s">
        <v>2072</v>
      </c>
      <c r="AQ224" t="s">
        <v>74</v>
      </c>
      <c r="AR224" t="s">
        <v>2073</v>
      </c>
      <c r="AS224" t="s">
        <v>2074</v>
      </c>
      <c r="AT224" t="s">
        <v>3318</v>
      </c>
      <c r="AU224">
        <v>2007</v>
      </c>
      <c r="AV224">
        <v>37</v>
      </c>
      <c r="AW224">
        <v>7</v>
      </c>
      <c r="AX224" t="s">
        <v>74</v>
      </c>
      <c r="AY224" t="s">
        <v>74</v>
      </c>
      <c r="AZ224" t="s">
        <v>74</v>
      </c>
      <c r="BA224" t="s">
        <v>74</v>
      </c>
      <c r="BB224">
        <v>1918</v>
      </c>
      <c r="BC224">
        <v>1938</v>
      </c>
      <c r="BD224" t="s">
        <v>74</v>
      </c>
      <c r="BE224" t="s">
        <v>3863</v>
      </c>
      <c r="BF224" t="str">
        <f>HYPERLINK("http://dx.doi.org/10.1175/JPO3089.1","http://dx.doi.org/10.1175/JPO3089.1")</f>
        <v>http://dx.doi.org/10.1175/JPO3089.1</v>
      </c>
      <c r="BG224" t="s">
        <v>74</v>
      </c>
      <c r="BH224" t="s">
        <v>74</v>
      </c>
      <c r="BI224">
        <v>21</v>
      </c>
      <c r="BJ224" t="s">
        <v>221</v>
      </c>
      <c r="BK224" t="s">
        <v>98</v>
      </c>
      <c r="BL224" t="s">
        <v>221</v>
      </c>
      <c r="BM224" t="s">
        <v>3850</v>
      </c>
      <c r="BN224" t="s">
        <v>74</v>
      </c>
      <c r="BO224" t="s">
        <v>304</v>
      </c>
      <c r="BP224" t="s">
        <v>74</v>
      </c>
      <c r="BQ224" t="s">
        <v>74</v>
      </c>
      <c r="BR224" t="s">
        <v>101</v>
      </c>
      <c r="BS224" t="s">
        <v>3864</v>
      </c>
      <c r="BT224" t="str">
        <f>HYPERLINK("https%3A%2F%2Fwww.webofscience.com%2Fwos%2Fwoscc%2Ffull-record%2FWOS:000248552200011","View Full Record in Web of Science")</f>
        <v>View Full Record in Web of Science</v>
      </c>
    </row>
    <row r="225" spans="1:72" x14ac:dyDescent="0.15">
      <c r="A225" t="s">
        <v>72</v>
      </c>
      <c r="B225" t="s">
        <v>3865</v>
      </c>
      <c r="C225" t="s">
        <v>74</v>
      </c>
      <c r="D225" t="s">
        <v>74</v>
      </c>
      <c r="E225" t="s">
        <v>74</v>
      </c>
      <c r="F225" t="s">
        <v>3866</v>
      </c>
      <c r="G225" t="s">
        <v>74</v>
      </c>
      <c r="H225" t="s">
        <v>74</v>
      </c>
      <c r="I225" t="s">
        <v>3867</v>
      </c>
      <c r="J225" t="s">
        <v>3868</v>
      </c>
      <c r="K225" t="s">
        <v>74</v>
      </c>
      <c r="L225" t="s">
        <v>74</v>
      </c>
      <c r="M225" t="s">
        <v>78</v>
      </c>
      <c r="N225" t="s">
        <v>79</v>
      </c>
      <c r="O225" t="s">
        <v>74</v>
      </c>
      <c r="P225" t="s">
        <v>74</v>
      </c>
      <c r="Q225" t="s">
        <v>74</v>
      </c>
      <c r="R225" t="s">
        <v>74</v>
      </c>
      <c r="S225" t="s">
        <v>74</v>
      </c>
      <c r="T225" t="s">
        <v>3869</v>
      </c>
      <c r="U225" t="s">
        <v>3870</v>
      </c>
      <c r="V225" t="s">
        <v>3871</v>
      </c>
      <c r="W225" t="s">
        <v>3872</v>
      </c>
      <c r="X225" t="s">
        <v>3873</v>
      </c>
      <c r="Y225" t="s">
        <v>3874</v>
      </c>
      <c r="Z225" t="s">
        <v>3875</v>
      </c>
      <c r="AA225" t="s">
        <v>3876</v>
      </c>
      <c r="AB225" t="s">
        <v>3877</v>
      </c>
      <c r="AC225" t="s">
        <v>74</v>
      </c>
      <c r="AD225" t="s">
        <v>74</v>
      </c>
      <c r="AE225" t="s">
        <v>74</v>
      </c>
      <c r="AF225" t="s">
        <v>74</v>
      </c>
      <c r="AG225">
        <v>69</v>
      </c>
      <c r="AH225">
        <v>66</v>
      </c>
      <c r="AI225">
        <v>67</v>
      </c>
      <c r="AJ225">
        <v>0</v>
      </c>
      <c r="AK225">
        <v>30</v>
      </c>
      <c r="AL225" t="s">
        <v>1202</v>
      </c>
      <c r="AM225" t="s">
        <v>1203</v>
      </c>
      <c r="AN225" t="s">
        <v>1204</v>
      </c>
      <c r="AO225" t="s">
        <v>3878</v>
      </c>
      <c r="AP225" t="s">
        <v>3879</v>
      </c>
      <c r="AQ225" t="s">
        <v>74</v>
      </c>
      <c r="AR225" t="s">
        <v>3880</v>
      </c>
      <c r="AS225" t="s">
        <v>3881</v>
      </c>
      <c r="AT225" t="s">
        <v>3318</v>
      </c>
      <c r="AU225">
        <v>2007</v>
      </c>
      <c r="AV225">
        <v>22</v>
      </c>
      <c r="AW225">
        <v>5</v>
      </c>
      <c r="AX225" t="s">
        <v>74</v>
      </c>
      <c r="AY225" t="s">
        <v>74</v>
      </c>
      <c r="AZ225" t="s">
        <v>74</v>
      </c>
      <c r="BA225" t="s">
        <v>74</v>
      </c>
      <c r="BB225">
        <v>535</v>
      </c>
      <c r="BC225">
        <v>547</v>
      </c>
      <c r="BD225" t="s">
        <v>74</v>
      </c>
      <c r="BE225" t="s">
        <v>3882</v>
      </c>
      <c r="BF225" t="str">
        <f>HYPERLINK("http://dx.doi.org/10.1002/jqs.1135","http://dx.doi.org/10.1002/jqs.1135")</f>
        <v>http://dx.doi.org/10.1002/jqs.1135</v>
      </c>
      <c r="BG225" t="s">
        <v>74</v>
      </c>
      <c r="BH225" t="s">
        <v>74</v>
      </c>
      <c r="BI225">
        <v>13</v>
      </c>
      <c r="BJ225" t="s">
        <v>2567</v>
      </c>
      <c r="BK225" t="s">
        <v>98</v>
      </c>
      <c r="BL225" t="s">
        <v>2568</v>
      </c>
      <c r="BM225" t="s">
        <v>3883</v>
      </c>
      <c r="BN225" t="s">
        <v>74</v>
      </c>
      <c r="BO225" t="s">
        <v>74</v>
      </c>
      <c r="BP225" t="s">
        <v>74</v>
      </c>
      <c r="BQ225" t="s">
        <v>74</v>
      </c>
      <c r="BR225" t="s">
        <v>101</v>
      </c>
      <c r="BS225" t="s">
        <v>3884</v>
      </c>
      <c r="BT225" t="str">
        <f>HYPERLINK("https%3A%2F%2Fwww.webofscience.com%2Fwos%2Fwoscc%2Ffull-record%2FWOS:000247406400009","View Full Record in Web of Science")</f>
        <v>View Full Record in Web of Science</v>
      </c>
    </row>
    <row r="226" spans="1:72" x14ac:dyDescent="0.15">
      <c r="A226" t="s">
        <v>72</v>
      </c>
      <c r="B226" t="s">
        <v>3885</v>
      </c>
      <c r="C226" t="s">
        <v>74</v>
      </c>
      <c r="D226" t="s">
        <v>74</v>
      </c>
      <c r="E226" t="s">
        <v>74</v>
      </c>
      <c r="F226" t="s">
        <v>3886</v>
      </c>
      <c r="G226" t="s">
        <v>74</v>
      </c>
      <c r="H226" t="s">
        <v>74</v>
      </c>
      <c r="I226" t="s">
        <v>3887</v>
      </c>
      <c r="J226" t="s">
        <v>3888</v>
      </c>
      <c r="K226" t="s">
        <v>74</v>
      </c>
      <c r="L226" t="s">
        <v>74</v>
      </c>
      <c r="M226" t="s">
        <v>78</v>
      </c>
      <c r="N226" t="s">
        <v>79</v>
      </c>
      <c r="O226" t="s">
        <v>74</v>
      </c>
      <c r="P226" t="s">
        <v>74</v>
      </c>
      <c r="Q226" t="s">
        <v>74</v>
      </c>
      <c r="R226" t="s">
        <v>74</v>
      </c>
      <c r="S226" t="s">
        <v>74</v>
      </c>
      <c r="T226" t="s">
        <v>74</v>
      </c>
      <c r="U226" t="s">
        <v>3889</v>
      </c>
      <c r="V226" t="s">
        <v>3890</v>
      </c>
      <c r="W226" t="s">
        <v>3891</v>
      </c>
      <c r="X226" t="s">
        <v>3892</v>
      </c>
      <c r="Y226" t="s">
        <v>3893</v>
      </c>
      <c r="Z226" t="s">
        <v>3894</v>
      </c>
      <c r="AA226" t="s">
        <v>3895</v>
      </c>
      <c r="AB226" t="s">
        <v>3896</v>
      </c>
      <c r="AC226" t="s">
        <v>74</v>
      </c>
      <c r="AD226" t="s">
        <v>74</v>
      </c>
      <c r="AE226" t="s">
        <v>74</v>
      </c>
      <c r="AF226" t="s">
        <v>74</v>
      </c>
      <c r="AG226">
        <v>83</v>
      </c>
      <c r="AH226">
        <v>40</v>
      </c>
      <c r="AI226">
        <v>49</v>
      </c>
      <c r="AJ226">
        <v>0</v>
      </c>
      <c r="AK226">
        <v>16</v>
      </c>
      <c r="AL226" t="s">
        <v>3897</v>
      </c>
      <c r="AM226" t="s">
        <v>3898</v>
      </c>
      <c r="AN226" t="s">
        <v>3899</v>
      </c>
      <c r="AO226" t="s">
        <v>3900</v>
      </c>
      <c r="AP226" t="s">
        <v>3901</v>
      </c>
      <c r="AQ226" t="s">
        <v>74</v>
      </c>
      <c r="AR226" t="s">
        <v>3902</v>
      </c>
      <c r="AS226" t="s">
        <v>3903</v>
      </c>
      <c r="AT226" t="s">
        <v>3489</v>
      </c>
      <c r="AU226">
        <v>2007</v>
      </c>
      <c r="AV226">
        <v>77</v>
      </c>
      <c r="AW226" t="s">
        <v>3904</v>
      </c>
      <c r="AX226" t="s">
        <v>74</v>
      </c>
      <c r="AY226" t="s">
        <v>74</v>
      </c>
      <c r="AZ226" t="s">
        <v>74</v>
      </c>
      <c r="BA226" t="s">
        <v>74</v>
      </c>
      <c r="BB226">
        <v>572</v>
      </c>
      <c r="BC226">
        <v>586</v>
      </c>
      <c r="BD226" t="s">
        <v>74</v>
      </c>
      <c r="BE226" t="s">
        <v>3905</v>
      </c>
      <c r="BF226" t="str">
        <f>HYPERLINK("http://dx.doi.org/10.2110/jsr.2007.057","http://dx.doi.org/10.2110/jsr.2007.057")</f>
        <v>http://dx.doi.org/10.2110/jsr.2007.057</v>
      </c>
      <c r="BG226" t="s">
        <v>74</v>
      </c>
      <c r="BH226" t="s">
        <v>74</v>
      </c>
      <c r="BI226">
        <v>15</v>
      </c>
      <c r="BJ226" t="s">
        <v>152</v>
      </c>
      <c r="BK226" t="s">
        <v>98</v>
      </c>
      <c r="BL226" t="s">
        <v>152</v>
      </c>
      <c r="BM226" t="s">
        <v>3906</v>
      </c>
      <c r="BN226" t="s">
        <v>74</v>
      </c>
      <c r="BO226" t="s">
        <v>74</v>
      </c>
      <c r="BP226" t="s">
        <v>74</v>
      </c>
      <c r="BQ226" t="s">
        <v>74</v>
      </c>
      <c r="BR226" t="s">
        <v>101</v>
      </c>
      <c r="BS226" t="s">
        <v>3907</v>
      </c>
      <c r="BT226" t="str">
        <f>HYPERLINK("https%3A%2F%2Fwww.webofscience.com%2Fwos%2Fwoscc%2Ffull-record%2FWOS:000247689900004","View Full Record in Web of Science")</f>
        <v>View Full Record in Web of Science</v>
      </c>
    </row>
    <row r="227" spans="1:72" x14ac:dyDescent="0.15">
      <c r="A227" t="s">
        <v>72</v>
      </c>
      <c r="B227" t="s">
        <v>3908</v>
      </c>
      <c r="C227" t="s">
        <v>74</v>
      </c>
      <c r="D227" t="s">
        <v>74</v>
      </c>
      <c r="E227" t="s">
        <v>74</v>
      </c>
      <c r="F227" t="s">
        <v>3909</v>
      </c>
      <c r="G227" t="s">
        <v>74</v>
      </c>
      <c r="H227" t="s">
        <v>74</v>
      </c>
      <c r="I227" t="s">
        <v>3910</v>
      </c>
      <c r="J227" t="s">
        <v>3911</v>
      </c>
      <c r="K227" t="s">
        <v>74</v>
      </c>
      <c r="L227" t="s">
        <v>74</v>
      </c>
      <c r="M227" t="s">
        <v>78</v>
      </c>
      <c r="N227" t="s">
        <v>79</v>
      </c>
      <c r="O227" t="s">
        <v>74</v>
      </c>
      <c r="P227" t="s">
        <v>74</v>
      </c>
      <c r="Q227" t="s">
        <v>74</v>
      </c>
      <c r="R227" t="s">
        <v>74</v>
      </c>
      <c r="S227" t="s">
        <v>74</v>
      </c>
      <c r="T227" t="s">
        <v>3912</v>
      </c>
      <c r="U227" t="s">
        <v>3913</v>
      </c>
      <c r="V227" t="s">
        <v>3914</v>
      </c>
      <c r="W227" t="s">
        <v>3915</v>
      </c>
      <c r="X227" t="s">
        <v>3225</v>
      </c>
      <c r="Y227" t="s">
        <v>3916</v>
      </c>
      <c r="Z227" t="s">
        <v>3917</v>
      </c>
      <c r="AA227" t="s">
        <v>3918</v>
      </c>
      <c r="AB227" t="s">
        <v>3919</v>
      </c>
      <c r="AC227" t="s">
        <v>74</v>
      </c>
      <c r="AD227" t="s">
        <v>74</v>
      </c>
      <c r="AE227" t="s">
        <v>74</v>
      </c>
      <c r="AF227" t="s">
        <v>74</v>
      </c>
      <c r="AG227">
        <v>62</v>
      </c>
      <c r="AH227">
        <v>57</v>
      </c>
      <c r="AI227">
        <v>59</v>
      </c>
      <c r="AJ227">
        <v>1</v>
      </c>
      <c r="AK227">
        <v>16</v>
      </c>
      <c r="AL227" t="s">
        <v>3920</v>
      </c>
      <c r="AM227" t="s">
        <v>3921</v>
      </c>
      <c r="AN227" t="s">
        <v>3922</v>
      </c>
      <c r="AO227" t="s">
        <v>3923</v>
      </c>
      <c r="AP227" t="s">
        <v>3924</v>
      </c>
      <c r="AQ227" t="s">
        <v>74</v>
      </c>
      <c r="AR227" t="s">
        <v>3925</v>
      </c>
      <c r="AS227" t="s">
        <v>3926</v>
      </c>
      <c r="AT227" t="s">
        <v>3318</v>
      </c>
      <c r="AU227">
        <v>2007</v>
      </c>
      <c r="AV227">
        <v>43</v>
      </c>
      <c r="AW227">
        <v>3</v>
      </c>
      <c r="AX227" t="s">
        <v>74</v>
      </c>
      <c r="AY227" t="s">
        <v>74</v>
      </c>
      <c r="AZ227" t="s">
        <v>74</v>
      </c>
      <c r="BA227" t="s">
        <v>74</v>
      </c>
      <c r="BB227">
        <v>461</v>
      </c>
      <c r="BC227">
        <v>474</v>
      </c>
      <c r="BD227" t="s">
        <v>74</v>
      </c>
      <c r="BE227" t="s">
        <v>3927</v>
      </c>
      <c r="BF227" t="str">
        <f>HYPERLINK("http://dx.doi.org/10.7589/0090-3558-43.3.461","http://dx.doi.org/10.7589/0090-3558-43.3.461")</f>
        <v>http://dx.doi.org/10.7589/0090-3558-43.3.461</v>
      </c>
      <c r="BG227" t="s">
        <v>74</v>
      </c>
      <c r="BH227" t="s">
        <v>74</v>
      </c>
      <c r="BI227">
        <v>14</v>
      </c>
      <c r="BJ227" t="s">
        <v>3928</v>
      </c>
      <c r="BK227" t="s">
        <v>98</v>
      </c>
      <c r="BL227" t="s">
        <v>3928</v>
      </c>
      <c r="BM227" t="s">
        <v>3929</v>
      </c>
      <c r="BN227">
        <v>17699084</v>
      </c>
      <c r="BO227" t="s">
        <v>1249</v>
      </c>
      <c r="BP227" t="s">
        <v>74</v>
      </c>
      <c r="BQ227" t="s">
        <v>74</v>
      </c>
      <c r="BR227" t="s">
        <v>101</v>
      </c>
      <c r="BS227" t="s">
        <v>3930</v>
      </c>
      <c r="BT227" t="str">
        <f>HYPERLINK("https%3A%2F%2Fwww.webofscience.com%2Fwos%2Fwoscc%2Ffull-record%2FWOS:000248921100014","View Full Record in Web of Science")</f>
        <v>View Full Record in Web of Science</v>
      </c>
    </row>
    <row r="228" spans="1:72" x14ac:dyDescent="0.15">
      <c r="A228" t="s">
        <v>72</v>
      </c>
      <c r="B228" t="s">
        <v>3931</v>
      </c>
      <c r="C228" t="s">
        <v>74</v>
      </c>
      <c r="D228" t="s">
        <v>74</v>
      </c>
      <c r="E228" t="s">
        <v>74</v>
      </c>
      <c r="F228" t="s">
        <v>3932</v>
      </c>
      <c r="G228" t="s">
        <v>74</v>
      </c>
      <c r="H228" t="s">
        <v>74</v>
      </c>
      <c r="I228" t="s">
        <v>3933</v>
      </c>
      <c r="J228" t="s">
        <v>3934</v>
      </c>
      <c r="K228" t="s">
        <v>74</v>
      </c>
      <c r="L228" t="s">
        <v>74</v>
      </c>
      <c r="M228" t="s">
        <v>78</v>
      </c>
      <c r="N228" t="s">
        <v>79</v>
      </c>
      <c r="O228" t="s">
        <v>74</v>
      </c>
      <c r="P228" t="s">
        <v>74</v>
      </c>
      <c r="Q228" t="s">
        <v>74</v>
      </c>
      <c r="R228" t="s">
        <v>74</v>
      </c>
      <c r="S228" t="s">
        <v>74</v>
      </c>
      <c r="T228" t="s">
        <v>74</v>
      </c>
      <c r="U228" t="s">
        <v>3935</v>
      </c>
      <c r="V228" t="s">
        <v>3936</v>
      </c>
      <c r="W228" t="s">
        <v>3937</v>
      </c>
      <c r="X228" t="s">
        <v>3938</v>
      </c>
      <c r="Y228" t="s">
        <v>3939</v>
      </c>
      <c r="Z228" t="s">
        <v>3940</v>
      </c>
      <c r="AA228" t="s">
        <v>3941</v>
      </c>
      <c r="AB228" t="s">
        <v>3942</v>
      </c>
      <c r="AC228" t="s">
        <v>74</v>
      </c>
      <c r="AD228" t="s">
        <v>74</v>
      </c>
      <c r="AE228" t="s">
        <v>74</v>
      </c>
      <c r="AF228" t="s">
        <v>74</v>
      </c>
      <c r="AG228">
        <v>44</v>
      </c>
      <c r="AH228">
        <v>116</v>
      </c>
      <c r="AI228">
        <v>131</v>
      </c>
      <c r="AJ228">
        <v>0</v>
      </c>
      <c r="AK228">
        <v>23</v>
      </c>
      <c r="AL228" t="s">
        <v>1202</v>
      </c>
      <c r="AM228" t="s">
        <v>1203</v>
      </c>
      <c r="AN228" t="s">
        <v>1204</v>
      </c>
      <c r="AO228" t="s">
        <v>3943</v>
      </c>
      <c r="AP228" t="s">
        <v>3944</v>
      </c>
      <c r="AQ228" t="s">
        <v>74</v>
      </c>
      <c r="AR228" t="s">
        <v>3945</v>
      </c>
      <c r="AS228" t="s">
        <v>3946</v>
      </c>
      <c r="AT228" t="s">
        <v>3318</v>
      </c>
      <c r="AU228">
        <v>2007</v>
      </c>
      <c r="AV228">
        <v>52</v>
      </c>
      <c r="AW228">
        <v>4</v>
      </c>
      <c r="AX228" t="s">
        <v>74</v>
      </c>
      <c r="AY228" t="s">
        <v>74</v>
      </c>
      <c r="AZ228" t="s">
        <v>74</v>
      </c>
      <c r="BA228" t="s">
        <v>74</v>
      </c>
      <c r="BB228">
        <v>1367</v>
      </c>
      <c r="BC228">
        <v>1379</v>
      </c>
      <c r="BD228" t="s">
        <v>74</v>
      </c>
      <c r="BE228" t="s">
        <v>3947</v>
      </c>
      <c r="BF228" t="str">
        <f>HYPERLINK("http://dx.doi.org/10.4319/lo.2007.52.4.1367","http://dx.doi.org/10.4319/lo.2007.52.4.1367")</f>
        <v>http://dx.doi.org/10.4319/lo.2007.52.4.1367</v>
      </c>
      <c r="BG228" t="s">
        <v>74</v>
      </c>
      <c r="BH228" t="s">
        <v>74</v>
      </c>
      <c r="BI228">
        <v>13</v>
      </c>
      <c r="BJ228" t="s">
        <v>3948</v>
      </c>
      <c r="BK228" t="s">
        <v>98</v>
      </c>
      <c r="BL228" t="s">
        <v>2093</v>
      </c>
      <c r="BM228" t="s">
        <v>3949</v>
      </c>
      <c r="BN228" t="s">
        <v>74</v>
      </c>
      <c r="BO228" t="s">
        <v>1289</v>
      </c>
      <c r="BP228" t="s">
        <v>74</v>
      </c>
      <c r="BQ228" t="s">
        <v>74</v>
      </c>
      <c r="BR228" t="s">
        <v>101</v>
      </c>
      <c r="BS228" t="s">
        <v>3950</v>
      </c>
      <c r="BT228" t="str">
        <f>HYPERLINK("https%3A%2F%2Fwww.webofscience.com%2Fwos%2Fwoscc%2Ffull-record%2FWOS:000248215800008","View Full Record in Web of Science")</f>
        <v>View Full Record in Web of Science</v>
      </c>
    </row>
    <row r="229" spans="1:72" x14ac:dyDescent="0.15">
      <c r="A229" t="s">
        <v>72</v>
      </c>
      <c r="B229" t="s">
        <v>3951</v>
      </c>
      <c r="C229" t="s">
        <v>74</v>
      </c>
      <c r="D229" t="s">
        <v>74</v>
      </c>
      <c r="E229" t="s">
        <v>74</v>
      </c>
      <c r="F229" t="s">
        <v>3952</v>
      </c>
      <c r="G229" t="s">
        <v>74</v>
      </c>
      <c r="H229" t="s">
        <v>74</v>
      </c>
      <c r="I229" t="s">
        <v>3953</v>
      </c>
      <c r="J229" t="s">
        <v>3934</v>
      </c>
      <c r="K229" t="s">
        <v>74</v>
      </c>
      <c r="L229" t="s">
        <v>74</v>
      </c>
      <c r="M229" t="s">
        <v>78</v>
      </c>
      <c r="N229" t="s">
        <v>79</v>
      </c>
      <c r="O229" t="s">
        <v>74</v>
      </c>
      <c r="P229" t="s">
        <v>74</v>
      </c>
      <c r="Q229" t="s">
        <v>74</v>
      </c>
      <c r="R229" t="s">
        <v>74</v>
      </c>
      <c r="S229" t="s">
        <v>74</v>
      </c>
      <c r="T229" t="s">
        <v>74</v>
      </c>
      <c r="U229" t="s">
        <v>3954</v>
      </c>
      <c r="V229" t="s">
        <v>3955</v>
      </c>
      <c r="W229" t="s">
        <v>3956</v>
      </c>
      <c r="X229" t="s">
        <v>3957</v>
      </c>
      <c r="Y229" t="s">
        <v>3958</v>
      </c>
      <c r="Z229" t="s">
        <v>3959</v>
      </c>
      <c r="AA229" t="s">
        <v>3960</v>
      </c>
      <c r="AB229" t="s">
        <v>3961</v>
      </c>
      <c r="AC229" t="s">
        <v>74</v>
      </c>
      <c r="AD229" t="s">
        <v>74</v>
      </c>
      <c r="AE229" t="s">
        <v>74</v>
      </c>
      <c r="AF229" t="s">
        <v>74</v>
      </c>
      <c r="AG229">
        <v>27</v>
      </c>
      <c r="AH229">
        <v>61</v>
      </c>
      <c r="AI229">
        <v>65</v>
      </c>
      <c r="AJ229">
        <v>0</v>
      </c>
      <c r="AK229">
        <v>24</v>
      </c>
      <c r="AL229" t="s">
        <v>1202</v>
      </c>
      <c r="AM229" t="s">
        <v>1203</v>
      </c>
      <c r="AN229" t="s">
        <v>1204</v>
      </c>
      <c r="AO229" t="s">
        <v>3943</v>
      </c>
      <c r="AP229" t="s">
        <v>3944</v>
      </c>
      <c r="AQ229" t="s">
        <v>74</v>
      </c>
      <c r="AR229" t="s">
        <v>3945</v>
      </c>
      <c r="AS229" t="s">
        <v>3946</v>
      </c>
      <c r="AT229" t="s">
        <v>3318</v>
      </c>
      <c r="AU229">
        <v>2007</v>
      </c>
      <c r="AV229">
        <v>52</v>
      </c>
      <c r="AW229">
        <v>4</v>
      </c>
      <c r="AX229" t="s">
        <v>74</v>
      </c>
      <c r="AY229" t="s">
        <v>74</v>
      </c>
      <c r="AZ229" t="s">
        <v>74</v>
      </c>
      <c r="BA229" t="s">
        <v>74</v>
      </c>
      <c r="BB229">
        <v>1430</v>
      </c>
      <c r="BC229">
        <v>1438</v>
      </c>
      <c r="BD229" t="s">
        <v>74</v>
      </c>
      <c r="BE229" t="s">
        <v>3962</v>
      </c>
      <c r="BF229" t="str">
        <f>HYPERLINK("http://dx.doi.org/10.4319/lo.2007.52.4.1430","http://dx.doi.org/10.4319/lo.2007.52.4.1430")</f>
        <v>http://dx.doi.org/10.4319/lo.2007.52.4.1430</v>
      </c>
      <c r="BG229" t="s">
        <v>74</v>
      </c>
      <c r="BH229" t="s">
        <v>74</v>
      </c>
      <c r="BI229">
        <v>9</v>
      </c>
      <c r="BJ229" t="s">
        <v>3948</v>
      </c>
      <c r="BK229" t="s">
        <v>98</v>
      </c>
      <c r="BL229" t="s">
        <v>2093</v>
      </c>
      <c r="BM229" t="s">
        <v>3949</v>
      </c>
      <c r="BN229" t="s">
        <v>74</v>
      </c>
      <c r="BO229" t="s">
        <v>797</v>
      </c>
      <c r="BP229" t="s">
        <v>74</v>
      </c>
      <c r="BQ229" t="s">
        <v>74</v>
      </c>
      <c r="BR229" t="s">
        <v>101</v>
      </c>
      <c r="BS229" t="s">
        <v>3963</v>
      </c>
      <c r="BT229" t="str">
        <f>HYPERLINK("https%3A%2F%2Fwww.webofscience.com%2Fwos%2Fwoscc%2Ffull-record%2FWOS:000248215800013","View Full Record in Web of Science")</f>
        <v>View Full Record in Web of Science</v>
      </c>
    </row>
    <row r="230" spans="1:72" x14ac:dyDescent="0.15">
      <c r="A230" t="s">
        <v>72</v>
      </c>
      <c r="B230" t="s">
        <v>3964</v>
      </c>
      <c r="C230" t="s">
        <v>74</v>
      </c>
      <c r="D230" t="s">
        <v>74</v>
      </c>
      <c r="E230" t="s">
        <v>74</v>
      </c>
      <c r="F230" t="s">
        <v>3965</v>
      </c>
      <c r="G230" t="s">
        <v>74</v>
      </c>
      <c r="H230" t="s">
        <v>74</v>
      </c>
      <c r="I230" t="s">
        <v>3966</v>
      </c>
      <c r="J230" t="s">
        <v>2161</v>
      </c>
      <c r="K230" t="s">
        <v>74</v>
      </c>
      <c r="L230" t="s">
        <v>74</v>
      </c>
      <c r="M230" t="s">
        <v>78</v>
      </c>
      <c r="N230" t="s">
        <v>79</v>
      </c>
      <c r="O230" t="s">
        <v>74</v>
      </c>
      <c r="P230" t="s">
        <v>74</v>
      </c>
      <c r="Q230" t="s">
        <v>74</v>
      </c>
      <c r="R230" t="s">
        <v>74</v>
      </c>
      <c r="S230" t="s">
        <v>74</v>
      </c>
      <c r="T230" t="s">
        <v>74</v>
      </c>
      <c r="U230" t="s">
        <v>3967</v>
      </c>
      <c r="V230" t="s">
        <v>3968</v>
      </c>
      <c r="W230" t="s">
        <v>3969</v>
      </c>
      <c r="X230" t="s">
        <v>3970</v>
      </c>
      <c r="Y230" t="s">
        <v>3971</v>
      </c>
      <c r="Z230" t="s">
        <v>3728</v>
      </c>
      <c r="AA230" t="s">
        <v>3972</v>
      </c>
      <c r="AB230" t="s">
        <v>3973</v>
      </c>
      <c r="AC230" t="s">
        <v>74</v>
      </c>
      <c r="AD230" t="s">
        <v>74</v>
      </c>
      <c r="AE230" t="s">
        <v>74</v>
      </c>
      <c r="AF230" t="s">
        <v>74</v>
      </c>
      <c r="AG230">
        <v>41</v>
      </c>
      <c r="AH230">
        <v>24</v>
      </c>
      <c r="AI230">
        <v>27</v>
      </c>
      <c r="AJ230">
        <v>0</v>
      </c>
      <c r="AK230">
        <v>18</v>
      </c>
      <c r="AL230" t="s">
        <v>1592</v>
      </c>
      <c r="AM230" t="s">
        <v>1593</v>
      </c>
      <c r="AN230" t="s">
        <v>2512</v>
      </c>
      <c r="AO230" t="s">
        <v>2173</v>
      </c>
      <c r="AP230" t="s">
        <v>74</v>
      </c>
      <c r="AQ230" t="s">
        <v>74</v>
      </c>
      <c r="AR230" t="s">
        <v>2175</v>
      </c>
      <c r="AS230" t="s">
        <v>2176</v>
      </c>
      <c r="AT230" t="s">
        <v>3318</v>
      </c>
      <c r="AU230">
        <v>2007</v>
      </c>
      <c r="AV230">
        <v>152</v>
      </c>
      <c r="AW230">
        <v>1</v>
      </c>
      <c r="AX230" t="s">
        <v>74</v>
      </c>
      <c r="AY230" t="s">
        <v>74</v>
      </c>
      <c r="AZ230" t="s">
        <v>74</v>
      </c>
      <c r="BA230" t="s">
        <v>74</v>
      </c>
      <c r="BB230">
        <v>95</v>
      </c>
      <c r="BC230">
        <v>107</v>
      </c>
      <c r="BD230" t="s">
        <v>74</v>
      </c>
      <c r="BE230" t="s">
        <v>3974</v>
      </c>
      <c r="BF230" t="str">
        <f>HYPERLINK("http://dx.doi.org/10.1007/s00227-007-0664-6","http://dx.doi.org/10.1007/s00227-007-0664-6")</f>
        <v>http://dx.doi.org/10.1007/s00227-007-0664-6</v>
      </c>
      <c r="BG230" t="s">
        <v>74</v>
      </c>
      <c r="BH230" t="s">
        <v>74</v>
      </c>
      <c r="BI230">
        <v>13</v>
      </c>
      <c r="BJ230" t="s">
        <v>2178</v>
      </c>
      <c r="BK230" t="s">
        <v>98</v>
      </c>
      <c r="BL230" t="s">
        <v>2178</v>
      </c>
      <c r="BM230" t="s">
        <v>3975</v>
      </c>
      <c r="BN230" t="s">
        <v>74</v>
      </c>
      <c r="BO230" t="s">
        <v>74</v>
      </c>
      <c r="BP230" t="s">
        <v>74</v>
      </c>
      <c r="BQ230" t="s">
        <v>74</v>
      </c>
      <c r="BR230" t="s">
        <v>101</v>
      </c>
      <c r="BS230" t="s">
        <v>3976</v>
      </c>
      <c r="BT230" t="str">
        <f>HYPERLINK("https%3A%2F%2Fwww.webofscience.com%2Fwos%2Fwoscc%2Ffull-record%2FWOS:000247471700010","View Full Record in Web of Science")</f>
        <v>View Full Record in Web of Science</v>
      </c>
    </row>
    <row r="231" spans="1:72" x14ac:dyDescent="0.15">
      <c r="A231" t="s">
        <v>72</v>
      </c>
      <c r="B231" t="s">
        <v>3977</v>
      </c>
      <c r="C231" t="s">
        <v>74</v>
      </c>
      <c r="D231" t="s">
        <v>74</v>
      </c>
      <c r="E231" t="s">
        <v>74</v>
      </c>
      <c r="F231" t="s">
        <v>3978</v>
      </c>
      <c r="G231" t="s">
        <v>74</v>
      </c>
      <c r="H231" t="s">
        <v>74</v>
      </c>
      <c r="I231" t="s">
        <v>3979</v>
      </c>
      <c r="J231" t="s">
        <v>2161</v>
      </c>
      <c r="K231" t="s">
        <v>74</v>
      </c>
      <c r="L231" t="s">
        <v>74</v>
      </c>
      <c r="M231" t="s">
        <v>78</v>
      </c>
      <c r="N231" t="s">
        <v>79</v>
      </c>
      <c r="O231" t="s">
        <v>74</v>
      </c>
      <c r="P231" t="s">
        <v>74</v>
      </c>
      <c r="Q231" t="s">
        <v>74</v>
      </c>
      <c r="R231" t="s">
        <v>74</v>
      </c>
      <c r="S231" t="s">
        <v>74</v>
      </c>
      <c r="T231" t="s">
        <v>74</v>
      </c>
      <c r="U231" t="s">
        <v>3980</v>
      </c>
      <c r="V231" t="s">
        <v>3981</v>
      </c>
      <c r="W231" t="s">
        <v>1987</v>
      </c>
      <c r="X231" t="s">
        <v>1988</v>
      </c>
      <c r="Y231" t="s">
        <v>3982</v>
      </c>
      <c r="Z231" t="s">
        <v>3983</v>
      </c>
      <c r="AA231" t="s">
        <v>3984</v>
      </c>
      <c r="AB231" t="s">
        <v>3985</v>
      </c>
      <c r="AC231" t="s">
        <v>1737</v>
      </c>
      <c r="AD231" t="s">
        <v>361</v>
      </c>
      <c r="AE231" t="s">
        <v>74</v>
      </c>
      <c r="AF231" t="s">
        <v>74</v>
      </c>
      <c r="AG231">
        <v>58</v>
      </c>
      <c r="AH231">
        <v>56</v>
      </c>
      <c r="AI231">
        <v>56</v>
      </c>
      <c r="AJ231">
        <v>1</v>
      </c>
      <c r="AK231">
        <v>21</v>
      </c>
      <c r="AL231" t="s">
        <v>2170</v>
      </c>
      <c r="AM231" t="s">
        <v>2171</v>
      </c>
      <c r="AN231" t="s">
        <v>2172</v>
      </c>
      <c r="AO231" t="s">
        <v>2173</v>
      </c>
      <c r="AP231" t="s">
        <v>2174</v>
      </c>
      <c r="AQ231" t="s">
        <v>74</v>
      </c>
      <c r="AR231" t="s">
        <v>2175</v>
      </c>
      <c r="AS231" t="s">
        <v>2176</v>
      </c>
      <c r="AT231" t="s">
        <v>3318</v>
      </c>
      <c r="AU231">
        <v>2007</v>
      </c>
      <c r="AV231">
        <v>152</v>
      </c>
      <c r="AW231">
        <v>1</v>
      </c>
      <c r="AX231" t="s">
        <v>74</v>
      </c>
      <c r="AY231" t="s">
        <v>74</v>
      </c>
      <c r="AZ231" t="s">
        <v>74</v>
      </c>
      <c r="BA231" t="s">
        <v>74</v>
      </c>
      <c r="BB231">
        <v>135</v>
      </c>
      <c r="BC231">
        <v>147</v>
      </c>
      <c r="BD231" t="s">
        <v>74</v>
      </c>
      <c r="BE231" t="s">
        <v>3986</v>
      </c>
      <c r="BF231" t="str">
        <f>HYPERLINK("http://dx.doi.org/10.1007/s00227-007-0667-3","http://dx.doi.org/10.1007/s00227-007-0667-3")</f>
        <v>http://dx.doi.org/10.1007/s00227-007-0667-3</v>
      </c>
      <c r="BG231" t="s">
        <v>74</v>
      </c>
      <c r="BH231" t="s">
        <v>74</v>
      </c>
      <c r="BI231">
        <v>13</v>
      </c>
      <c r="BJ231" t="s">
        <v>2178</v>
      </c>
      <c r="BK231" t="s">
        <v>98</v>
      </c>
      <c r="BL231" t="s">
        <v>2178</v>
      </c>
      <c r="BM231" t="s">
        <v>3975</v>
      </c>
      <c r="BN231" t="s">
        <v>74</v>
      </c>
      <c r="BO231" t="s">
        <v>223</v>
      </c>
      <c r="BP231" t="s">
        <v>74</v>
      </c>
      <c r="BQ231" t="s">
        <v>74</v>
      </c>
      <c r="BR231" t="s">
        <v>101</v>
      </c>
      <c r="BS231" t="s">
        <v>3987</v>
      </c>
      <c r="BT231" t="str">
        <f>HYPERLINK("https%3A%2F%2Fwww.webofscience.com%2Fwos%2Fwoscc%2Ffull-record%2FWOS:000247471700014","View Full Record in Web of Science")</f>
        <v>View Full Record in Web of Science</v>
      </c>
    </row>
    <row r="232" spans="1:72" x14ac:dyDescent="0.15">
      <c r="A232" t="s">
        <v>72</v>
      </c>
      <c r="B232" t="s">
        <v>3988</v>
      </c>
      <c r="C232" t="s">
        <v>74</v>
      </c>
      <c r="D232" t="s">
        <v>74</v>
      </c>
      <c r="E232" t="s">
        <v>74</v>
      </c>
      <c r="F232" t="s">
        <v>3989</v>
      </c>
      <c r="G232" t="s">
        <v>74</v>
      </c>
      <c r="H232" t="s">
        <v>74</v>
      </c>
      <c r="I232" t="s">
        <v>3990</v>
      </c>
      <c r="J232" t="s">
        <v>2161</v>
      </c>
      <c r="K232" t="s">
        <v>74</v>
      </c>
      <c r="L232" t="s">
        <v>74</v>
      </c>
      <c r="M232" t="s">
        <v>78</v>
      </c>
      <c r="N232" t="s">
        <v>79</v>
      </c>
      <c r="O232" t="s">
        <v>74</v>
      </c>
      <c r="P232" t="s">
        <v>74</v>
      </c>
      <c r="Q232" t="s">
        <v>74</v>
      </c>
      <c r="R232" t="s">
        <v>74</v>
      </c>
      <c r="S232" t="s">
        <v>74</v>
      </c>
      <c r="T232" t="s">
        <v>74</v>
      </c>
      <c r="U232" t="s">
        <v>3991</v>
      </c>
      <c r="V232" t="s">
        <v>3992</v>
      </c>
      <c r="W232" t="s">
        <v>3993</v>
      </c>
      <c r="X232" t="s">
        <v>3994</v>
      </c>
      <c r="Y232" t="s">
        <v>3995</v>
      </c>
      <c r="Z232" t="s">
        <v>3996</v>
      </c>
      <c r="AA232" t="s">
        <v>3997</v>
      </c>
      <c r="AB232" t="s">
        <v>74</v>
      </c>
      <c r="AC232" t="s">
        <v>74</v>
      </c>
      <c r="AD232" t="s">
        <v>74</v>
      </c>
      <c r="AE232" t="s">
        <v>74</v>
      </c>
      <c r="AF232" t="s">
        <v>74</v>
      </c>
      <c r="AG232">
        <v>67</v>
      </c>
      <c r="AH232">
        <v>22</v>
      </c>
      <c r="AI232">
        <v>25</v>
      </c>
      <c r="AJ232">
        <v>0</v>
      </c>
      <c r="AK232">
        <v>12</v>
      </c>
      <c r="AL232" t="s">
        <v>1592</v>
      </c>
      <c r="AM232" t="s">
        <v>1593</v>
      </c>
      <c r="AN232" t="s">
        <v>2512</v>
      </c>
      <c r="AO232" t="s">
        <v>2173</v>
      </c>
      <c r="AP232" t="s">
        <v>74</v>
      </c>
      <c r="AQ232" t="s">
        <v>74</v>
      </c>
      <c r="AR232" t="s">
        <v>2175</v>
      </c>
      <c r="AS232" t="s">
        <v>2176</v>
      </c>
      <c r="AT232" t="s">
        <v>3318</v>
      </c>
      <c r="AU232">
        <v>2007</v>
      </c>
      <c r="AV232">
        <v>152</v>
      </c>
      <c r="AW232">
        <v>1</v>
      </c>
      <c r="AX232" t="s">
        <v>74</v>
      </c>
      <c r="AY232" t="s">
        <v>74</v>
      </c>
      <c r="AZ232" t="s">
        <v>74</v>
      </c>
      <c r="BA232" t="s">
        <v>74</v>
      </c>
      <c r="BB232">
        <v>213</v>
      </c>
      <c r="BC232">
        <v>224</v>
      </c>
      <c r="BD232" t="s">
        <v>74</v>
      </c>
      <c r="BE232" t="s">
        <v>3998</v>
      </c>
      <c r="BF232" t="str">
        <f>HYPERLINK("http://dx.doi.org/10.1007/s00227-007-0677-1","http://dx.doi.org/10.1007/s00227-007-0677-1")</f>
        <v>http://dx.doi.org/10.1007/s00227-007-0677-1</v>
      </c>
      <c r="BG232" t="s">
        <v>74</v>
      </c>
      <c r="BH232" t="s">
        <v>74</v>
      </c>
      <c r="BI232">
        <v>12</v>
      </c>
      <c r="BJ232" t="s">
        <v>2178</v>
      </c>
      <c r="BK232" t="s">
        <v>98</v>
      </c>
      <c r="BL232" t="s">
        <v>2178</v>
      </c>
      <c r="BM232" t="s">
        <v>3975</v>
      </c>
      <c r="BN232" t="s">
        <v>74</v>
      </c>
      <c r="BO232" t="s">
        <v>74</v>
      </c>
      <c r="BP232" t="s">
        <v>74</v>
      </c>
      <c r="BQ232" t="s">
        <v>74</v>
      </c>
      <c r="BR232" t="s">
        <v>101</v>
      </c>
      <c r="BS232" t="s">
        <v>3999</v>
      </c>
      <c r="BT232" t="str">
        <f>HYPERLINK("https%3A%2F%2Fwww.webofscience.com%2Fwos%2Fwoscc%2Ffull-record%2FWOS:000247471700021","View Full Record in Web of Science")</f>
        <v>View Full Record in Web of Science</v>
      </c>
    </row>
    <row r="233" spans="1:72" x14ac:dyDescent="0.15">
      <c r="A233" t="s">
        <v>72</v>
      </c>
      <c r="B233" t="s">
        <v>4000</v>
      </c>
      <c r="C233" t="s">
        <v>74</v>
      </c>
      <c r="D233" t="s">
        <v>74</v>
      </c>
      <c r="E233" t="s">
        <v>74</v>
      </c>
      <c r="F233" t="s">
        <v>4001</v>
      </c>
      <c r="G233" t="s">
        <v>74</v>
      </c>
      <c r="H233" t="s">
        <v>74</v>
      </c>
      <c r="I233" t="s">
        <v>4002</v>
      </c>
      <c r="J233" t="s">
        <v>2184</v>
      </c>
      <c r="K233" t="s">
        <v>74</v>
      </c>
      <c r="L233" t="s">
        <v>74</v>
      </c>
      <c r="M233" t="s">
        <v>78</v>
      </c>
      <c r="N233" t="s">
        <v>79</v>
      </c>
      <c r="O233" t="s">
        <v>74</v>
      </c>
      <c r="P233" t="s">
        <v>74</v>
      </c>
      <c r="Q233" t="s">
        <v>74</v>
      </c>
      <c r="R233" t="s">
        <v>74</v>
      </c>
      <c r="S233" t="s">
        <v>74</v>
      </c>
      <c r="T233" t="s">
        <v>4003</v>
      </c>
      <c r="U233" t="s">
        <v>4004</v>
      </c>
      <c r="V233" t="s">
        <v>4005</v>
      </c>
      <c r="W233" t="s">
        <v>4006</v>
      </c>
      <c r="X233" t="s">
        <v>4007</v>
      </c>
      <c r="Y233" t="s">
        <v>4008</v>
      </c>
      <c r="Z233" t="s">
        <v>4009</v>
      </c>
      <c r="AA233" t="s">
        <v>4010</v>
      </c>
      <c r="AB233" t="s">
        <v>4011</v>
      </c>
      <c r="AC233" t="s">
        <v>74</v>
      </c>
      <c r="AD233" t="s">
        <v>74</v>
      </c>
      <c r="AE233" t="s">
        <v>74</v>
      </c>
      <c r="AF233" t="s">
        <v>74</v>
      </c>
      <c r="AG233">
        <v>46</v>
      </c>
      <c r="AH233">
        <v>149</v>
      </c>
      <c r="AI233">
        <v>159</v>
      </c>
      <c r="AJ233">
        <v>2</v>
      </c>
      <c r="AK233">
        <v>34</v>
      </c>
      <c r="AL233" t="s">
        <v>272</v>
      </c>
      <c r="AM233" t="s">
        <v>273</v>
      </c>
      <c r="AN233" t="s">
        <v>274</v>
      </c>
      <c r="AO233" t="s">
        <v>2192</v>
      </c>
      <c r="AP233" t="s">
        <v>2193</v>
      </c>
      <c r="AQ233" t="s">
        <v>74</v>
      </c>
      <c r="AR233" t="s">
        <v>2194</v>
      </c>
      <c r="AS233" t="s">
        <v>2195</v>
      </c>
      <c r="AT233" t="s">
        <v>3318</v>
      </c>
      <c r="AU233">
        <v>2007</v>
      </c>
      <c r="AV233">
        <v>106</v>
      </c>
      <c r="AW233" t="s">
        <v>280</v>
      </c>
      <c r="AX233" t="s">
        <v>74</v>
      </c>
      <c r="AY233" t="s">
        <v>74</v>
      </c>
      <c r="AZ233" t="s">
        <v>74</v>
      </c>
      <c r="BA233" t="s">
        <v>74</v>
      </c>
      <c r="BB233">
        <v>18</v>
      </c>
      <c r="BC233">
        <v>32</v>
      </c>
      <c r="BD233" t="s">
        <v>74</v>
      </c>
      <c r="BE233" t="s">
        <v>4012</v>
      </c>
      <c r="BF233" t="str">
        <f>HYPERLINK("http://dx.doi.org/10.1016/j.marchem.2006.06.010","http://dx.doi.org/10.1016/j.marchem.2006.06.010")</f>
        <v>http://dx.doi.org/10.1016/j.marchem.2006.06.010</v>
      </c>
      <c r="BG233" t="s">
        <v>74</v>
      </c>
      <c r="BH233" t="s">
        <v>74</v>
      </c>
      <c r="BI233">
        <v>15</v>
      </c>
      <c r="BJ233" t="s">
        <v>2197</v>
      </c>
      <c r="BK233" t="s">
        <v>98</v>
      </c>
      <c r="BL233" t="s">
        <v>2198</v>
      </c>
      <c r="BM233" t="s">
        <v>4013</v>
      </c>
      <c r="BN233" t="s">
        <v>74</v>
      </c>
      <c r="BO233" t="s">
        <v>74</v>
      </c>
      <c r="BP233" t="s">
        <v>74</v>
      </c>
      <c r="BQ233" t="s">
        <v>74</v>
      </c>
      <c r="BR233" t="s">
        <v>101</v>
      </c>
      <c r="BS233" t="s">
        <v>4014</v>
      </c>
      <c r="BT233" t="str">
        <f>HYPERLINK("https%3A%2F%2Fwww.webofscience.com%2Fwos%2Fwoscc%2Ffull-record%2FWOS:000249643900003","View Full Record in Web of Science")</f>
        <v>View Full Record in Web of Science</v>
      </c>
    </row>
    <row r="234" spans="1:72" x14ac:dyDescent="0.15">
      <c r="A234" t="s">
        <v>72</v>
      </c>
      <c r="B234" t="s">
        <v>4015</v>
      </c>
      <c r="C234" t="s">
        <v>74</v>
      </c>
      <c r="D234" t="s">
        <v>74</v>
      </c>
      <c r="E234" t="s">
        <v>74</v>
      </c>
      <c r="F234" t="s">
        <v>4016</v>
      </c>
      <c r="G234" t="s">
        <v>74</v>
      </c>
      <c r="H234" t="s">
        <v>74</v>
      </c>
      <c r="I234" t="s">
        <v>4017</v>
      </c>
      <c r="J234" t="s">
        <v>2184</v>
      </c>
      <c r="K234" t="s">
        <v>74</v>
      </c>
      <c r="L234" t="s">
        <v>74</v>
      </c>
      <c r="M234" t="s">
        <v>78</v>
      </c>
      <c r="N234" t="s">
        <v>79</v>
      </c>
      <c r="O234" t="s">
        <v>74</v>
      </c>
      <c r="P234" t="s">
        <v>74</v>
      </c>
      <c r="Q234" t="s">
        <v>74</v>
      </c>
      <c r="R234" t="s">
        <v>74</v>
      </c>
      <c r="S234" t="s">
        <v>74</v>
      </c>
      <c r="T234" t="s">
        <v>4018</v>
      </c>
      <c r="U234" t="s">
        <v>4019</v>
      </c>
      <c r="V234" t="s">
        <v>4020</v>
      </c>
      <c r="W234" t="s">
        <v>4021</v>
      </c>
      <c r="X234" t="s">
        <v>4022</v>
      </c>
      <c r="Y234" t="s">
        <v>4023</v>
      </c>
      <c r="Z234" t="s">
        <v>4024</v>
      </c>
      <c r="AA234" t="s">
        <v>4025</v>
      </c>
      <c r="AB234" t="s">
        <v>4026</v>
      </c>
      <c r="AC234" t="s">
        <v>74</v>
      </c>
      <c r="AD234" t="s">
        <v>74</v>
      </c>
      <c r="AE234" t="s">
        <v>74</v>
      </c>
      <c r="AF234" t="s">
        <v>74</v>
      </c>
      <c r="AG234">
        <v>51</v>
      </c>
      <c r="AH234">
        <v>26</v>
      </c>
      <c r="AI234">
        <v>26</v>
      </c>
      <c r="AJ234">
        <v>2</v>
      </c>
      <c r="AK234">
        <v>18</v>
      </c>
      <c r="AL234" t="s">
        <v>272</v>
      </c>
      <c r="AM234" t="s">
        <v>273</v>
      </c>
      <c r="AN234" t="s">
        <v>274</v>
      </c>
      <c r="AO234" t="s">
        <v>2192</v>
      </c>
      <c r="AP234" t="s">
        <v>2193</v>
      </c>
      <c r="AQ234" t="s">
        <v>74</v>
      </c>
      <c r="AR234" t="s">
        <v>2194</v>
      </c>
      <c r="AS234" t="s">
        <v>2195</v>
      </c>
      <c r="AT234" t="s">
        <v>3318</v>
      </c>
      <c r="AU234">
        <v>2007</v>
      </c>
      <c r="AV234">
        <v>106</v>
      </c>
      <c r="AW234" t="s">
        <v>280</v>
      </c>
      <c r="AX234" t="s">
        <v>74</v>
      </c>
      <c r="AY234" t="s">
        <v>74</v>
      </c>
      <c r="AZ234" t="s">
        <v>74</v>
      </c>
      <c r="BA234" t="s">
        <v>74</v>
      </c>
      <c r="BB234">
        <v>33</v>
      </c>
      <c r="BC234">
        <v>45</v>
      </c>
      <c r="BD234" t="s">
        <v>74</v>
      </c>
      <c r="BE234" t="s">
        <v>4027</v>
      </c>
      <c r="BF234" t="str">
        <f>HYPERLINK("http://dx.doi.org/10.1016/j.marchem.2006.06.007","http://dx.doi.org/10.1016/j.marchem.2006.06.007")</f>
        <v>http://dx.doi.org/10.1016/j.marchem.2006.06.007</v>
      </c>
      <c r="BG234" t="s">
        <v>74</v>
      </c>
      <c r="BH234" t="s">
        <v>74</v>
      </c>
      <c r="BI234">
        <v>13</v>
      </c>
      <c r="BJ234" t="s">
        <v>2197</v>
      </c>
      <c r="BK234" t="s">
        <v>98</v>
      </c>
      <c r="BL234" t="s">
        <v>2198</v>
      </c>
      <c r="BM234" t="s">
        <v>4013</v>
      </c>
      <c r="BN234" t="s">
        <v>74</v>
      </c>
      <c r="BO234" t="s">
        <v>74</v>
      </c>
      <c r="BP234" t="s">
        <v>74</v>
      </c>
      <c r="BQ234" t="s">
        <v>74</v>
      </c>
      <c r="BR234" t="s">
        <v>101</v>
      </c>
      <c r="BS234" t="s">
        <v>4028</v>
      </c>
      <c r="BT234" t="str">
        <f>HYPERLINK("https%3A%2F%2Fwww.webofscience.com%2Fwos%2Fwoscc%2Ffull-record%2FWOS:000249643900004","View Full Record in Web of Science")</f>
        <v>View Full Record in Web of Science</v>
      </c>
    </row>
    <row r="235" spans="1:72" x14ac:dyDescent="0.15">
      <c r="A235" t="s">
        <v>72</v>
      </c>
      <c r="B235" t="s">
        <v>4029</v>
      </c>
      <c r="C235" t="s">
        <v>74</v>
      </c>
      <c r="D235" t="s">
        <v>74</v>
      </c>
      <c r="E235" t="s">
        <v>74</v>
      </c>
      <c r="F235" t="s">
        <v>4030</v>
      </c>
      <c r="G235" t="s">
        <v>74</v>
      </c>
      <c r="H235" t="s">
        <v>74</v>
      </c>
      <c r="I235" t="s">
        <v>4031</v>
      </c>
      <c r="J235" t="s">
        <v>2184</v>
      </c>
      <c r="K235" t="s">
        <v>74</v>
      </c>
      <c r="L235" t="s">
        <v>74</v>
      </c>
      <c r="M235" t="s">
        <v>78</v>
      </c>
      <c r="N235" t="s">
        <v>79</v>
      </c>
      <c r="O235" t="s">
        <v>74</v>
      </c>
      <c r="P235" t="s">
        <v>74</v>
      </c>
      <c r="Q235" t="s">
        <v>74</v>
      </c>
      <c r="R235" t="s">
        <v>74</v>
      </c>
      <c r="S235" t="s">
        <v>74</v>
      </c>
      <c r="T235" t="s">
        <v>4032</v>
      </c>
      <c r="U235" t="s">
        <v>4033</v>
      </c>
      <c r="V235" t="s">
        <v>4034</v>
      </c>
      <c r="W235" t="s">
        <v>4035</v>
      </c>
      <c r="X235" t="s">
        <v>4036</v>
      </c>
      <c r="Y235" t="s">
        <v>4037</v>
      </c>
      <c r="Z235" t="s">
        <v>4038</v>
      </c>
      <c r="AA235" t="s">
        <v>4039</v>
      </c>
      <c r="AB235" t="s">
        <v>4040</v>
      </c>
      <c r="AC235" t="s">
        <v>74</v>
      </c>
      <c r="AD235" t="s">
        <v>74</v>
      </c>
      <c r="AE235" t="s">
        <v>74</v>
      </c>
      <c r="AF235" t="s">
        <v>74</v>
      </c>
      <c r="AG235">
        <v>81</v>
      </c>
      <c r="AH235">
        <v>69</v>
      </c>
      <c r="AI235">
        <v>72</v>
      </c>
      <c r="AJ235">
        <v>0</v>
      </c>
      <c r="AK235">
        <v>22</v>
      </c>
      <c r="AL235" t="s">
        <v>272</v>
      </c>
      <c r="AM235" t="s">
        <v>273</v>
      </c>
      <c r="AN235" t="s">
        <v>274</v>
      </c>
      <c r="AO235" t="s">
        <v>2192</v>
      </c>
      <c r="AP235" t="s">
        <v>2193</v>
      </c>
      <c r="AQ235" t="s">
        <v>74</v>
      </c>
      <c r="AR235" t="s">
        <v>2194</v>
      </c>
      <c r="AS235" t="s">
        <v>2195</v>
      </c>
      <c r="AT235" t="s">
        <v>3318</v>
      </c>
      <c r="AU235">
        <v>2007</v>
      </c>
      <c r="AV235">
        <v>106</v>
      </c>
      <c r="AW235" t="s">
        <v>280</v>
      </c>
      <c r="AX235" t="s">
        <v>74</v>
      </c>
      <c r="AY235" t="s">
        <v>74</v>
      </c>
      <c r="AZ235" t="s">
        <v>74</v>
      </c>
      <c r="BA235" t="s">
        <v>74</v>
      </c>
      <c r="BB235">
        <v>46</v>
      </c>
      <c r="BC235">
        <v>62</v>
      </c>
      <c r="BD235" t="s">
        <v>74</v>
      </c>
      <c r="BE235" t="s">
        <v>4041</v>
      </c>
      <c r="BF235" t="str">
        <f>HYPERLINK("http://dx.doi.org/10.1016/j.marchem.2006.04.006","http://dx.doi.org/10.1016/j.marchem.2006.04.006")</f>
        <v>http://dx.doi.org/10.1016/j.marchem.2006.04.006</v>
      </c>
      <c r="BG235" t="s">
        <v>74</v>
      </c>
      <c r="BH235" t="s">
        <v>74</v>
      </c>
      <c r="BI235">
        <v>17</v>
      </c>
      <c r="BJ235" t="s">
        <v>2197</v>
      </c>
      <c r="BK235" t="s">
        <v>98</v>
      </c>
      <c r="BL235" t="s">
        <v>2198</v>
      </c>
      <c r="BM235" t="s">
        <v>4013</v>
      </c>
      <c r="BN235" t="s">
        <v>74</v>
      </c>
      <c r="BO235" t="s">
        <v>74</v>
      </c>
      <c r="BP235" t="s">
        <v>74</v>
      </c>
      <c r="BQ235" t="s">
        <v>74</v>
      </c>
      <c r="BR235" t="s">
        <v>101</v>
      </c>
      <c r="BS235" t="s">
        <v>4042</v>
      </c>
      <c r="BT235" t="str">
        <f>HYPERLINK("https%3A%2F%2Fwww.webofscience.com%2Fwos%2Fwoscc%2Ffull-record%2FWOS:000249643900005","View Full Record in Web of Science")</f>
        <v>View Full Record in Web of Science</v>
      </c>
    </row>
    <row r="236" spans="1:72" x14ac:dyDescent="0.15">
      <c r="A236" t="s">
        <v>72</v>
      </c>
      <c r="B236" t="s">
        <v>4043</v>
      </c>
      <c r="C236" t="s">
        <v>74</v>
      </c>
      <c r="D236" t="s">
        <v>74</v>
      </c>
      <c r="E236" t="s">
        <v>74</v>
      </c>
      <c r="F236" t="s">
        <v>4044</v>
      </c>
      <c r="G236" t="s">
        <v>74</v>
      </c>
      <c r="H236" t="s">
        <v>74</v>
      </c>
      <c r="I236" t="s">
        <v>4045</v>
      </c>
      <c r="J236" t="s">
        <v>4046</v>
      </c>
      <c r="K236" t="s">
        <v>74</v>
      </c>
      <c r="L236" t="s">
        <v>74</v>
      </c>
      <c r="M236" t="s">
        <v>78</v>
      </c>
      <c r="N236" t="s">
        <v>79</v>
      </c>
      <c r="O236" t="s">
        <v>74</v>
      </c>
      <c r="P236" t="s">
        <v>74</v>
      </c>
      <c r="Q236" t="s">
        <v>74</v>
      </c>
      <c r="R236" t="s">
        <v>74</v>
      </c>
      <c r="S236" t="s">
        <v>74</v>
      </c>
      <c r="T236" t="s">
        <v>4047</v>
      </c>
      <c r="U236" t="s">
        <v>4048</v>
      </c>
      <c r="V236" t="s">
        <v>4049</v>
      </c>
      <c r="W236" t="s">
        <v>4050</v>
      </c>
      <c r="X236" t="s">
        <v>4051</v>
      </c>
      <c r="Y236" t="s">
        <v>4052</v>
      </c>
      <c r="Z236" t="s">
        <v>4053</v>
      </c>
      <c r="AA236" t="s">
        <v>74</v>
      </c>
      <c r="AB236" t="s">
        <v>4054</v>
      </c>
      <c r="AC236" t="s">
        <v>74</v>
      </c>
      <c r="AD236" t="s">
        <v>74</v>
      </c>
      <c r="AE236" t="s">
        <v>74</v>
      </c>
      <c r="AF236" t="s">
        <v>74</v>
      </c>
      <c r="AG236">
        <v>39</v>
      </c>
      <c r="AH236">
        <v>19</v>
      </c>
      <c r="AI236">
        <v>21</v>
      </c>
      <c r="AJ236">
        <v>1</v>
      </c>
      <c r="AK236">
        <v>20</v>
      </c>
      <c r="AL236" t="s">
        <v>1202</v>
      </c>
      <c r="AM236" t="s">
        <v>1203</v>
      </c>
      <c r="AN236" t="s">
        <v>1204</v>
      </c>
      <c r="AO236" t="s">
        <v>4055</v>
      </c>
      <c r="AP236" t="s">
        <v>4056</v>
      </c>
      <c r="AQ236" t="s">
        <v>74</v>
      </c>
      <c r="AR236" t="s">
        <v>4057</v>
      </c>
      <c r="AS236" t="s">
        <v>4058</v>
      </c>
      <c r="AT236" t="s">
        <v>3318</v>
      </c>
      <c r="AU236">
        <v>2007</v>
      </c>
      <c r="AV236">
        <v>23</v>
      </c>
      <c r="AW236">
        <v>3</v>
      </c>
      <c r="AX236" t="s">
        <v>74</v>
      </c>
      <c r="AY236" t="s">
        <v>74</v>
      </c>
      <c r="AZ236" t="s">
        <v>74</v>
      </c>
      <c r="BA236" t="s">
        <v>74</v>
      </c>
      <c r="BB236">
        <v>508</v>
      </c>
      <c r="BC236">
        <v>523</v>
      </c>
      <c r="BD236" t="s">
        <v>74</v>
      </c>
      <c r="BE236" t="s">
        <v>4059</v>
      </c>
      <c r="BF236" t="str">
        <f>HYPERLINK("http://dx.doi.org/10.1111/j.1748-7692.2007.00129.x","http://dx.doi.org/10.1111/j.1748-7692.2007.00129.x")</f>
        <v>http://dx.doi.org/10.1111/j.1748-7692.2007.00129.x</v>
      </c>
      <c r="BG236" t="s">
        <v>74</v>
      </c>
      <c r="BH236" t="s">
        <v>74</v>
      </c>
      <c r="BI236">
        <v>16</v>
      </c>
      <c r="BJ236" t="s">
        <v>1956</v>
      </c>
      <c r="BK236" t="s">
        <v>98</v>
      </c>
      <c r="BL236" t="s">
        <v>1956</v>
      </c>
      <c r="BM236" t="s">
        <v>4060</v>
      </c>
      <c r="BN236" t="s">
        <v>74</v>
      </c>
      <c r="BO236" t="s">
        <v>74</v>
      </c>
      <c r="BP236" t="s">
        <v>74</v>
      </c>
      <c r="BQ236" t="s">
        <v>74</v>
      </c>
      <c r="BR236" t="s">
        <v>101</v>
      </c>
      <c r="BS236" t="s">
        <v>4061</v>
      </c>
      <c r="BT236" t="str">
        <f>HYPERLINK("https%3A%2F%2Fwww.webofscience.com%2Fwos%2Fwoscc%2Ffull-record%2FWOS:000247205900003","View Full Record in Web of Science")</f>
        <v>View Full Record in Web of Science</v>
      </c>
    </row>
    <row r="237" spans="1:72" x14ac:dyDescent="0.15">
      <c r="A237" t="s">
        <v>72</v>
      </c>
      <c r="B237" t="s">
        <v>4062</v>
      </c>
      <c r="C237" t="s">
        <v>74</v>
      </c>
      <c r="D237" t="s">
        <v>74</v>
      </c>
      <c r="E237" t="s">
        <v>74</v>
      </c>
      <c r="F237" t="s">
        <v>4063</v>
      </c>
      <c r="G237" t="s">
        <v>74</v>
      </c>
      <c r="H237" t="s">
        <v>74</v>
      </c>
      <c r="I237" t="s">
        <v>4064</v>
      </c>
      <c r="J237" t="s">
        <v>4065</v>
      </c>
      <c r="K237" t="s">
        <v>74</v>
      </c>
      <c r="L237" t="s">
        <v>74</v>
      </c>
      <c r="M237" t="s">
        <v>78</v>
      </c>
      <c r="N237" t="s">
        <v>79</v>
      </c>
      <c r="O237" t="s">
        <v>74</v>
      </c>
      <c r="P237" t="s">
        <v>74</v>
      </c>
      <c r="Q237" t="s">
        <v>74</v>
      </c>
      <c r="R237" t="s">
        <v>74</v>
      </c>
      <c r="S237" t="s">
        <v>74</v>
      </c>
      <c r="T237" t="s">
        <v>74</v>
      </c>
      <c r="U237" t="s">
        <v>74</v>
      </c>
      <c r="V237" t="s">
        <v>4066</v>
      </c>
      <c r="W237" t="s">
        <v>4067</v>
      </c>
      <c r="X237" t="s">
        <v>4068</v>
      </c>
      <c r="Y237" t="s">
        <v>4069</v>
      </c>
      <c r="Z237" t="s">
        <v>4070</v>
      </c>
      <c r="AA237" t="s">
        <v>4071</v>
      </c>
      <c r="AB237" t="s">
        <v>74</v>
      </c>
      <c r="AC237" t="s">
        <v>4072</v>
      </c>
      <c r="AD237" t="s">
        <v>4072</v>
      </c>
      <c r="AE237" t="s">
        <v>4073</v>
      </c>
      <c r="AF237" t="s">
        <v>74</v>
      </c>
      <c r="AG237">
        <v>22</v>
      </c>
      <c r="AH237">
        <v>0</v>
      </c>
      <c r="AI237">
        <v>0</v>
      </c>
      <c r="AJ237">
        <v>0</v>
      </c>
      <c r="AK237">
        <v>0</v>
      </c>
      <c r="AL237" t="s">
        <v>4074</v>
      </c>
      <c r="AM237" t="s">
        <v>4075</v>
      </c>
      <c r="AN237" t="s">
        <v>4076</v>
      </c>
      <c r="AO237" t="s">
        <v>4077</v>
      </c>
      <c r="AP237" t="s">
        <v>4078</v>
      </c>
      <c r="AQ237" t="s">
        <v>74</v>
      </c>
      <c r="AR237" t="s">
        <v>4079</v>
      </c>
      <c r="AS237" t="s">
        <v>4080</v>
      </c>
      <c r="AT237" t="s">
        <v>3489</v>
      </c>
      <c r="AU237">
        <v>2007</v>
      </c>
      <c r="AV237">
        <v>30</v>
      </c>
      <c r="AW237">
        <v>4</v>
      </c>
      <c r="AX237" t="s">
        <v>74</v>
      </c>
      <c r="AY237" t="s">
        <v>74</v>
      </c>
      <c r="AZ237" t="s">
        <v>74</v>
      </c>
      <c r="BA237" t="s">
        <v>74</v>
      </c>
      <c r="BB237">
        <v>395</v>
      </c>
      <c r="BC237">
        <v>405</v>
      </c>
      <c r="BD237" t="s">
        <v>74</v>
      </c>
      <c r="BE237" t="s">
        <v>4081</v>
      </c>
      <c r="BF237" t="str">
        <f>HYPERLINK("http://dx.doi.org/10.1393/ncc/i2007-10251-9","http://dx.doi.org/10.1393/ncc/i2007-10251-9")</f>
        <v>http://dx.doi.org/10.1393/ncc/i2007-10251-9</v>
      </c>
      <c r="BG237" t="s">
        <v>74</v>
      </c>
      <c r="BH237" t="s">
        <v>74</v>
      </c>
      <c r="BI237">
        <v>11</v>
      </c>
      <c r="BJ237" t="s">
        <v>4082</v>
      </c>
      <c r="BK237" t="s">
        <v>4083</v>
      </c>
      <c r="BL237" t="s">
        <v>4084</v>
      </c>
      <c r="BM237" t="s">
        <v>4085</v>
      </c>
      <c r="BN237" t="s">
        <v>74</v>
      </c>
      <c r="BO237" t="s">
        <v>74</v>
      </c>
      <c r="BP237" t="s">
        <v>74</v>
      </c>
      <c r="BQ237" t="s">
        <v>74</v>
      </c>
      <c r="BR237" t="s">
        <v>101</v>
      </c>
      <c r="BS237" t="s">
        <v>4086</v>
      </c>
      <c r="BT237" t="str">
        <f>HYPERLINK("https%3A%2F%2Fwww.webofscience.com%2Fwos%2Fwoscc%2Ffull-record%2FWOS:000421726000004","View Full Record in Web of Science")</f>
        <v>View Full Record in Web of Science</v>
      </c>
    </row>
    <row r="238" spans="1:72" x14ac:dyDescent="0.15">
      <c r="A238" t="s">
        <v>72</v>
      </c>
      <c r="B238" t="s">
        <v>4087</v>
      </c>
      <c r="C238" t="s">
        <v>74</v>
      </c>
      <c r="D238" t="s">
        <v>74</v>
      </c>
      <c r="E238" t="s">
        <v>74</v>
      </c>
      <c r="F238" t="s">
        <v>4088</v>
      </c>
      <c r="G238" t="s">
        <v>74</v>
      </c>
      <c r="H238" t="s">
        <v>74</v>
      </c>
      <c r="I238" t="s">
        <v>4089</v>
      </c>
      <c r="J238" t="s">
        <v>4090</v>
      </c>
      <c r="K238" t="s">
        <v>74</v>
      </c>
      <c r="L238" t="s">
        <v>74</v>
      </c>
      <c r="M238" t="s">
        <v>78</v>
      </c>
      <c r="N238" t="s">
        <v>514</v>
      </c>
      <c r="O238" t="s">
        <v>4091</v>
      </c>
      <c r="P238" t="s">
        <v>4092</v>
      </c>
      <c r="Q238" t="s">
        <v>3671</v>
      </c>
      <c r="R238" t="s">
        <v>74</v>
      </c>
      <c r="S238" t="s">
        <v>74</v>
      </c>
      <c r="T238" t="s">
        <v>74</v>
      </c>
      <c r="U238" t="s">
        <v>4093</v>
      </c>
      <c r="V238" t="s">
        <v>4094</v>
      </c>
      <c r="W238" t="s">
        <v>4095</v>
      </c>
      <c r="X238" t="s">
        <v>4096</v>
      </c>
      <c r="Y238" t="s">
        <v>4097</v>
      </c>
      <c r="Z238" t="s">
        <v>4098</v>
      </c>
      <c r="AA238" t="s">
        <v>4099</v>
      </c>
      <c r="AB238" t="s">
        <v>4100</v>
      </c>
      <c r="AC238" t="s">
        <v>74</v>
      </c>
      <c r="AD238" t="s">
        <v>74</v>
      </c>
      <c r="AE238" t="s">
        <v>74</v>
      </c>
      <c r="AF238" t="s">
        <v>74</v>
      </c>
      <c r="AG238">
        <v>32</v>
      </c>
      <c r="AH238">
        <v>53</v>
      </c>
      <c r="AI238">
        <v>56</v>
      </c>
      <c r="AJ238">
        <v>1</v>
      </c>
      <c r="AK238">
        <v>17</v>
      </c>
      <c r="AL238" t="s">
        <v>3351</v>
      </c>
      <c r="AM238" t="s">
        <v>1203</v>
      </c>
      <c r="AN238" t="s">
        <v>1204</v>
      </c>
      <c r="AO238" t="s">
        <v>4101</v>
      </c>
      <c r="AP238" t="s">
        <v>4102</v>
      </c>
      <c r="AQ238" t="s">
        <v>74</v>
      </c>
      <c r="AR238" t="s">
        <v>4103</v>
      </c>
      <c r="AS238" t="s">
        <v>4104</v>
      </c>
      <c r="AT238" t="s">
        <v>3489</v>
      </c>
      <c r="AU238">
        <v>2007</v>
      </c>
      <c r="AV238">
        <v>83</v>
      </c>
      <c r="AW238">
        <v>4</v>
      </c>
      <c r="AX238" t="s">
        <v>74</v>
      </c>
      <c r="AY238" t="s">
        <v>74</v>
      </c>
      <c r="AZ238" t="s">
        <v>74</v>
      </c>
      <c r="BA238" t="s">
        <v>74</v>
      </c>
      <c r="BB238">
        <v>793</v>
      </c>
      <c r="BC238">
        <v>801</v>
      </c>
      <c r="BD238" t="s">
        <v>74</v>
      </c>
      <c r="BE238" t="s">
        <v>4105</v>
      </c>
      <c r="BF238" t="str">
        <f>HYPERLINK("http://dx.doi.org/10.1111/j.1751-1097.2007.00144.x","http://dx.doi.org/10.1111/j.1751-1097.2007.00144.x")</f>
        <v>http://dx.doi.org/10.1111/j.1751-1097.2007.00144.x</v>
      </c>
      <c r="BG238" t="s">
        <v>74</v>
      </c>
      <c r="BH238" t="s">
        <v>74</v>
      </c>
      <c r="BI238">
        <v>9</v>
      </c>
      <c r="BJ238" t="s">
        <v>4106</v>
      </c>
      <c r="BK238" t="s">
        <v>535</v>
      </c>
      <c r="BL238" t="s">
        <v>4106</v>
      </c>
      <c r="BM238" t="s">
        <v>4107</v>
      </c>
      <c r="BN238">
        <v>17645649</v>
      </c>
      <c r="BO238" t="s">
        <v>74</v>
      </c>
      <c r="BP238" t="s">
        <v>74</v>
      </c>
      <c r="BQ238" t="s">
        <v>74</v>
      </c>
      <c r="BR238" t="s">
        <v>101</v>
      </c>
      <c r="BS238" t="s">
        <v>4108</v>
      </c>
      <c r="BT238" t="str">
        <f>HYPERLINK("https%3A%2F%2Fwww.webofscience.com%2Fwos%2Fwoscc%2Ffull-record%2FWOS:000248537200004","View Full Record in Web of Science")</f>
        <v>View Full Record in Web of Science</v>
      </c>
    </row>
    <row r="239" spans="1:72" x14ac:dyDescent="0.15">
      <c r="A239" t="s">
        <v>72</v>
      </c>
      <c r="B239" t="s">
        <v>4109</v>
      </c>
      <c r="C239" t="s">
        <v>74</v>
      </c>
      <c r="D239" t="s">
        <v>74</v>
      </c>
      <c r="E239" t="s">
        <v>74</v>
      </c>
      <c r="F239" t="s">
        <v>4110</v>
      </c>
      <c r="G239" t="s">
        <v>74</v>
      </c>
      <c r="H239" t="s">
        <v>74</v>
      </c>
      <c r="I239" t="s">
        <v>4111</v>
      </c>
      <c r="J239" t="s">
        <v>4112</v>
      </c>
      <c r="K239" t="s">
        <v>74</v>
      </c>
      <c r="L239" t="s">
        <v>74</v>
      </c>
      <c r="M239" t="s">
        <v>78</v>
      </c>
      <c r="N239" t="s">
        <v>79</v>
      </c>
      <c r="O239" t="s">
        <v>74</v>
      </c>
      <c r="P239" t="s">
        <v>74</v>
      </c>
      <c r="Q239" t="s">
        <v>74</v>
      </c>
      <c r="R239" t="s">
        <v>74</v>
      </c>
      <c r="S239" t="s">
        <v>74</v>
      </c>
      <c r="T239" t="s">
        <v>4113</v>
      </c>
      <c r="U239" t="s">
        <v>4114</v>
      </c>
      <c r="V239" t="s">
        <v>4115</v>
      </c>
      <c r="W239" t="s">
        <v>4116</v>
      </c>
      <c r="X239" t="s">
        <v>4117</v>
      </c>
      <c r="Y239" t="s">
        <v>4118</v>
      </c>
      <c r="Z239" t="s">
        <v>4119</v>
      </c>
      <c r="AA239" t="s">
        <v>4120</v>
      </c>
      <c r="AB239" t="s">
        <v>4121</v>
      </c>
      <c r="AC239" t="s">
        <v>74</v>
      </c>
      <c r="AD239" t="s">
        <v>74</v>
      </c>
      <c r="AE239" t="s">
        <v>74</v>
      </c>
      <c r="AF239" t="s">
        <v>74</v>
      </c>
      <c r="AG239">
        <v>76</v>
      </c>
      <c r="AH239">
        <v>25</v>
      </c>
      <c r="AI239">
        <v>29</v>
      </c>
      <c r="AJ239">
        <v>0</v>
      </c>
      <c r="AK239">
        <v>17</v>
      </c>
      <c r="AL239" t="s">
        <v>1225</v>
      </c>
      <c r="AM239" t="s">
        <v>1226</v>
      </c>
      <c r="AN239" t="s">
        <v>1227</v>
      </c>
      <c r="AO239" t="s">
        <v>4122</v>
      </c>
      <c r="AP239" t="s">
        <v>4123</v>
      </c>
      <c r="AQ239" t="s">
        <v>74</v>
      </c>
      <c r="AR239" t="s">
        <v>4112</v>
      </c>
      <c r="AS239" t="s">
        <v>4124</v>
      </c>
      <c r="AT239" t="s">
        <v>3318</v>
      </c>
      <c r="AU239">
        <v>2007</v>
      </c>
      <c r="AV239">
        <v>46</v>
      </c>
      <c r="AW239">
        <v>4</v>
      </c>
      <c r="AX239" t="s">
        <v>74</v>
      </c>
      <c r="AY239" t="s">
        <v>74</v>
      </c>
      <c r="AZ239" t="s">
        <v>74</v>
      </c>
      <c r="BA239" t="s">
        <v>74</v>
      </c>
      <c r="BB239">
        <v>386</v>
      </c>
      <c r="BC239">
        <v>395</v>
      </c>
      <c r="BD239" t="s">
        <v>74</v>
      </c>
      <c r="BE239" t="s">
        <v>4125</v>
      </c>
      <c r="BF239" t="str">
        <f>HYPERLINK("http://dx.doi.org/10.2216/06-67.1","http://dx.doi.org/10.2216/06-67.1")</f>
        <v>http://dx.doi.org/10.2216/06-67.1</v>
      </c>
      <c r="BG239" t="s">
        <v>74</v>
      </c>
      <c r="BH239" t="s">
        <v>74</v>
      </c>
      <c r="BI239">
        <v>10</v>
      </c>
      <c r="BJ239" t="s">
        <v>4126</v>
      </c>
      <c r="BK239" t="s">
        <v>98</v>
      </c>
      <c r="BL239" t="s">
        <v>4126</v>
      </c>
      <c r="BM239" t="s">
        <v>4127</v>
      </c>
      <c r="BN239" t="s">
        <v>74</v>
      </c>
      <c r="BO239" t="s">
        <v>74</v>
      </c>
      <c r="BP239" t="s">
        <v>74</v>
      </c>
      <c r="BQ239" t="s">
        <v>74</v>
      </c>
      <c r="BR239" t="s">
        <v>101</v>
      </c>
      <c r="BS239" t="s">
        <v>4128</v>
      </c>
      <c r="BT239" t="str">
        <f>HYPERLINK("https%3A%2F%2Fwww.webofscience.com%2Fwos%2Fwoscc%2Ffull-record%2FWOS:000247855900005","View Full Record in Web of Science")</f>
        <v>View Full Record in Web of Science</v>
      </c>
    </row>
    <row r="240" spans="1:72" x14ac:dyDescent="0.15">
      <c r="A240" t="s">
        <v>72</v>
      </c>
      <c r="B240" t="s">
        <v>4129</v>
      </c>
      <c r="C240" t="s">
        <v>74</v>
      </c>
      <c r="D240" t="s">
        <v>74</v>
      </c>
      <c r="E240" t="s">
        <v>74</v>
      </c>
      <c r="F240" t="s">
        <v>4130</v>
      </c>
      <c r="G240" t="s">
        <v>74</v>
      </c>
      <c r="H240" t="s">
        <v>74</v>
      </c>
      <c r="I240" t="s">
        <v>4131</v>
      </c>
      <c r="J240" t="s">
        <v>4132</v>
      </c>
      <c r="K240" t="s">
        <v>74</v>
      </c>
      <c r="L240" t="s">
        <v>74</v>
      </c>
      <c r="M240" t="s">
        <v>78</v>
      </c>
      <c r="N240" t="s">
        <v>79</v>
      </c>
      <c r="O240" t="s">
        <v>74</v>
      </c>
      <c r="P240" t="s">
        <v>74</v>
      </c>
      <c r="Q240" t="s">
        <v>74</v>
      </c>
      <c r="R240" t="s">
        <v>74</v>
      </c>
      <c r="S240" t="s">
        <v>74</v>
      </c>
      <c r="T240" t="s">
        <v>74</v>
      </c>
      <c r="U240" t="s">
        <v>4133</v>
      </c>
      <c r="V240" t="s">
        <v>4134</v>
      </c>
      <c r="W240" t="s">
        <v>4135</v>
      </c>
      <c r="X240" t="s">
        <v>4136</v>
      </c>
      <c r="Y240" t="s">
        <v>4137</v>
      </c>
      <c r="Z240" t="s">
        <v>4138</v>
      </c>
      <c r="AA240" t="s">
        <v>74</v>
      </c>
      <c r="AB240" t="s">
        <v>4139</v>
      </c>
      <c r="AC240" t="s">
        <v>74</v>
      </c>
      <c r="AD240" t="s">
        <v>74</v>
      </c>
      <c r="AE240" t="s">
        <v>74</v>
      </c>
      <c r="AF240" t="s">
        <v>74</v>
      </c>
      <c r="AG240">
        <v>48</v>
      </c>
      <c r="AH240">
        <v>62</v>
      </c>
      <c r="AI240">
        <v>73</v>
      </c>
      <c r="AJ240">
        <v>0</v>
      </c>
      <c r="AK240">
        <v>27</v>
      </c>
      <c r="AL240" t="s">
        <v>875</v>
      </c>
      <c r="AM240" t="s">
        <v>876</v>
      </c>
      <c r="AN240" t="s">
        <v>877</v>
      </c>
      <c r="AO240" t="s">
        <v>4140</v>
      </c>
      <c r="AP240" t="s">
        <v>4141</v>
      </c>
      <c r="AQ240" t="s">
        <v>74</v>
      </c>
      <c r="AR240" t="s">
        <v>4142</v>
      </c>
      <c r="AS240" t="s">
        <v>4143</v>
      </c>
      <c r="AT240" t="s">
        <v>3489</v>
      </c>
      <c r="AU240">
        <v>2007</v>
      </c>
      <c r="AV240">
        <v>80</v>
      </c>
      <c r="AW240">
        <v>4</v>
      </c>
      <c r="AX240" t="s">
        <v>74</v>
      </c>
      <c r="AY240" t="s">
        <v>74</v>
      </c>
      <c r="AZ240" t="s">
        <v>74</v>
      </c>
      <c r="BA240" t="s">
        <v>74</v>
      </c>
      <c r="BB240">
        <v>433</v>
      </c>
      <c r="BC240">
        <v>443</v>
      </c>
      <c r="BD240" t="s">
        <v>74</v>
      </c>
      <c r="BE240" t="s">
        <v>4144</v>
      </c>
      <c r="BF240" t="str">
        <f>HYPERLINK("http://dx.doi.org/10.1086/518346","http://dx.doi.org/10.1086/518346")</f>
        <v>http://dx.doi.org/10.1086/518346</v>
      </c>
      <c r="BG240" t="s">
        <v>74</v>
      </c>
      <c r="BH240" t="s">
        <v>74</v>
      </c>
      <c r="BI240">
        <v>11</v>
      </c>
      <c r="BJ240" t="s">
        <v>4145</v>
      </c>
      <c r="BK240" t="s">
        <v>98</v>
      </c>
      <c r="BL240" t="s">
        <v>4145</v>
      </c>
      <c r="BM240" t="s">
        <v>4146</v>
      </c>
      <c r="BN240">
        <v>17508338</v>
      </c>
      <c r="BO240" t="s">
        <v>74</v>
      </c>
      <c r="BP240" t="s">
        <v>74</v>
      </c>
      <c r="BQ240" t="s">
        <v>74</v>
      </c>
      <c r="BR240" t="s">
        <v>101</v>
      </c>
      <c r="BS240" t="s">
        <v>4147</v>
      </c>
      <c r="BT240" t="str">
        <f>HYPERLINK("https%3A%2F%2Fwww.webofscience.com%2Fwos%2Fwoscc%2Ffull-record%2FWOS:000246568200009","View Full Record in Web of Science")</f>
        <v>View Full Record in Web of Science</v>
      </c>
    </row>
    <row r="241" spans="1:72" x14ac:dyDescent="0.15">
      <c r="A241" t="s">
        <v>72</v>
      </c>
      <c r="B241" t="s">
        <v>4148</v>
      </c>
      <c r="C241" t="s">
        <v>74</v>
      </c>
      <c r="D241" t="s">
        <v>74</v>
      </c>
      <c r="E241" t="s">
        <v>74</v>
      </c>
      <c r="F241" t="s">
        <v>4149</v>
      </c>
      <c r="G241" t="s">
        <v>74</v>
      </c>
      <c r="H241" t="s">
        <v>74</v>
      </c>
      <c r="I241" t="s">
        <v>4150</v>
      </c>
      <c r="J241" t="s">
        <v>2434</v>
      </c>
      <c r="K241" t="s">
        <v>74</v>
      </c>
      <c r="L241" t="s">
        <v>74</v>
      </c>
      <c r="M241" t="s">
        <v>78</v>
      </c>
      <c r="N241" t="s">
        <v>79</v>
      </c>
      <c r="O241" t="s">
        <v>74</v>
      </c>
      <c r="P241" t="s">
        <v>74</v>
      </c>
      <c r="Q241" t="s">
        <v>74</v>
      </c>
      <c r="R241" t="s">
        <v>74</v>
      </c>
      <c r="S241" t="s">
        <v>74</v>
      </c>
      <c r="T241" t="s">
        <v>4151</v>
      </c>
      <c r="U241" t="s">
        <v>4152</v>
      </c>
      <c r="V241" t="s">
        <v>4153</v>
      </c>
      <c r="W241" t="s">
        <v>4154</v>
      </c>
      <c r="X241" t="s">
        <v>4155</v>
      </c>
      <c r="Y241" t="s">
        <v>4156</v>
      </c>
      <c r="Z241" t="s">
        <v>4157</v>
      </c>
      <c r="AA241" t="s">
        <v>4158</v>
      </c>
      <c r="AB241" t="s">
        <v>4159</v>
      </c>
      <c r="AC241" t="s">
        <v>74</v>
      </c>
      <c r="AD241" t="s">
        <v>74</v>
      </c>
      <c r="AE241" t="s">
        <v>74</v>
      </c>
      <c r="AF241" t="s">
        <v>74</v>
      </c>
      <c r="AG241">
        <v>44</v>
      </c>
      <c r="AH241">
        <v>39</v>
      </c>
      <c r="AI241">
        <v>43</v>
      </c>
      <c r="AJ241">
        <v>2</v>
      </c>
      <c r="AK241">
        <v>31</v>
      </c>
      <c r="AL241" t="s">
        <v>1592</v>
      </c>
      <c r="AM241" t="s">
        <v>1593</v>
      </c>
      <c r="AN241" t="s">
        <v>2406</v>
      </c>
      <c r="AO241" t="s">
        <v>2442</v>
      </c>
      <c r="AP241" t="s">
        <v>2443</v>
      </c>
      <c r="AQ241" t="s">
        <v>74</v>
      </c>
      <c r="AR241" t="s">
        <v>2444</v>
      </c>
      <c r="AS241" t="s">
        <v>2445</v>
      </c>
      <c r="AT241" t="s">
        <v>3318</v>
      </c>
      <c r="AU241">
        <v>2007</v>
      </c>
      <c r="AV241">
        <v>30</v>
      </c>
      <c r="AW241">
        <v>8</v>
      </c>
      <c r="AX241" t="s">
        <v>74</v>
      </c>
      <c r="AY241" t="s">
        <v>74</v>
      </c>
      <c r="AZ241" t="s">
        <v>74</v>
      </c>
      <c r="BA241" t="s">
        <v>74</v>
      </c>
      <c r="BB241">
        <v>951</v>
      </c>
      <c r="BC241">
        <v>959</v>
      </c>
      <c r="BD241" t="s">
        <v>74</v>
      </c>
      <c r="BE241" t="s">
        <v>4160</v>
      </c>
      <c r="BF241" t="str">
        <f>HYPERLINK("http://dx.doi.org/10.1007/s00300-007-0253-7","http://dx.doi.org/10.1007/s00300-007-0253-7")</f>
        <v>http://dx.doi.org/10.1007/s00300-007-0253-7</v>
      </c>
      <c r="BG241" t="s">
        <v>74</v>
      </c>
      <c r="BH241" t="s">
        <v>74</v>
      </c>
      <c r="BI241">
        <v>9</v>
      </c>
      <c r="BJ241" t="s">
        <v>97</v>
      </c>
      <c r="BK241" t="s">
        <v>98</v>
      </c>
      <c r="BL241" t="s">
        <v>99</v>
      </c>
      <c r="BM241" t="s">
        <v>4161</v>
      </c>
      <c r="BN241" t="s">
        <v>74</v>
      </c>
      <c r="BO241" t="s">
        <v>74</v>
      </c>
      <c r="BP241" t="s">
        <v>74</v>
      </c>
      <c r="BQ241" t="s">
        <v>74</v>
      </c>
      <c r="BR241" t="s">
        <v>101</v>
      </c>
      <c r="BS241" t="s">
        <v>4162</v>
      </c>
      <c r="BT241" t="str">
        <f>HYPERLINK("https%3A%2F%2Fwww.webofscience.com%2Fwos%2Fwoscc%2Ffull-record%2FWOS:000247212200001","View Full Record in Web of Science")</f>
        <v>View Full Record in Web of Science</v>
      </c>
    </row>
    <row r="242" spans="1:72" x14ac:dyDescent="0.15">
      <c r="A242" t="s">
        <v>72</v>
      </c>
      <c r="B242" t="s">
        <v>4163</v>
      </c>
      <c r="C242" t="s">
        <v>74</v>
      </c>
      <c r="D242" t="s">
        <v>74</v>
      </c>
      <c r="E242" t="s">
        <v>74</v>
      </c>
      <c r="F242" t="s">
        <v>4164</v>
      </c>
      <c r="G242" t="s">
        <v>74</v>
      </c>
      <c r="H242" t="s">
        <v>74</v>
      </c>
      <c r="I242" t="s">
        <v>4165</v>
      </c>
      <c r="J242" t="s">
        <v>2434</v>
      </c>
      <c r="K242" t="s">
        <v>74</v>
      </c>
      <c r="L242" t="s">
        <v>74</v>
      </c>
      <c r="M242" t="s">
        <v>78</v>
      </c>
      <c r="N242" t="s">
        <v>79</v>
      </c>
      <c r="O242" t="s">
        <v>74</v>
      </c>
      <c r="P242" t="s">
        <v>74</v>
      </c>
      <c r="Q242" t="s">
        <v>74</v>
      </c>
      <c r="R242" t="s">
        <v>74</v>
      </c>
      <c r="S242" t="s">
        <v>74</v>
      </c>
      <c r="T242" t="s">
        <v>4166</v>
      </c>
      <c r="U242" t="s">
        <v>4167</v>
      </c>
      <c r="V242" t="s">
        <v>4168</v>
      </c>
      <c r="W242" t="s">
        <v>4169</v>
      </c>
      <c r="X242" t="s">
        <v>4170</v>
      </c>
      <c r="Y242" t="s">
        <v>4171</v>
      </c>
      <c r="Z242" t="s">
        <v>4172</v>
      </c>
      <c r="AA242" t="s">
        <v>4173</v>
      </c>
      <c r="AB242" t="s">
        <v>4174</v>
      </c>
      <c r="AC242" t="s">
        <v>4175</v>
      </c>
      <c r="AD242" t="s">
        <v>140</v>
      </c>
      <c r="AE242" t="s">
        <v>74</v>
      </c>
      <c r="AF242" t="s">
        <v>74</v>
      </c>
      <c r="AG242">
        <v>50</v>
      </c>
      <c r="AH242">
        <v>32</v>
      </c>
      <c r="AI242">
        <v>33</v>
      </c>
      <c r="AJ242">
        <v>1</v>
      </c>
      <c r="AK242">
        <v>27</v>
      </c>
      <c r="AL242" t="s">
        <v>1592</v>
      </c>
      <c r="AM242" t="s">
        <v>1593</v>
      </c>
      <c r="AN242" t="s">
        <v>2512</v>
      </c>
      <c r="AO242" t="s">
        <v>2442</v>
      </c>
      <c r="AP242" t="s">
        <v>74</v>
      </c>
      <c r="AQ242" t="s">
        <v>74</v>
      </c>
      <c r="AR242" t="s">
        <v>2444</v>
      </c>
      <c r="AS242" t="s">
        <v>2445</v>
      </c>
      <c r="AT242" t="s">
        <v>3318</v>
      </c>
      <c r="AU242">
        <v>2007</v>
      </c>
      <c r="AV242">
        <v>30</v>
      </c>
      <c r="AW242">
        <v>8</v>
      </c>
      <c r="AX242" t="s">
        <v>74</v>
      </c>
      <c r="AY242" t="s">
        <v>74</v>
      </c>
      <c r="AZ242" t="s">
        <v>74</v>
      </c>
      <c r="BA242" t="s">
        <v>74</v>
      </c>
      <c r="BB242">
        <v>983</v>
      </c>
      <c r="BC242">
        <v>990</v>
      </c>
      <c r="BD242" t="s">
        <v>74</v>
      </c>
      <c r="BE242" t="s">
        <v>4176</v>
      </c>
      <c r="BF242" t="str">
        <f>HYPERLINK("http://dx.doi.org/10.1007/s00300-007-0256-4","http://dx.doi.org/10.1007/s00300-007-0256-4")</f>
        <v>http://dx.doi.org/10.1007/s00300-007-0256-4</v>
      </c>
      <c r="BG242" t="s">
        <v>74</v>
      </c>
      <c r="BH242" t="s">
        <v>74</v>
      </c>
      <c r="BI242">
        <v>8</v>
      </c>
      <c r="BJ242" t="s">
        <v>97</v>
      </c>
      <c r="BK242" t="s">
        <v>98</v>
      </c>
      <c r="BL242" t="s">
        <v>99</v>
      </c>
      <c r="BM242" t="s">
        <v>4161</v>
      </c>
      <c r="BN242" t="s">
        <v>74</v>
      </c>
      <c r="BO242" t="s">
        <v>4177</v>
      </c>
      <c r="BP242" t="s">
        <v>74</v>
      </c>
      <c r="BQ242" t="s">
        <v>74</v>
      </c>
      <c r="BR242" t="s">
        <v>101</v>
      </c>
      <c r="BS242" t="s">
        <v>4178</v>
      </c>
      <c r="BT242" t="str">
        <f>HYPERLINK("https%3A%2F%2Fwww.webofscience.com%2Fwos%2Fwoscc%2Ffull-record%2FWOS:000247212200004","View Full Record in Web of Science")</f>
        <v>View Full Record in Web of Science</v>
      </c>
    </row>
    <row r="243" spans="1:72" x14ac:dyDescent="0.15">
      <c r="A243" t="s">
        <v>72</v>
      </c>
      <c r="B243" t="s">
        <v>4179</v>
      </c>
      <c r="C243" t="s">
        <v>74</v>
      </c>
      <c r="D243" t="s">
        <v>74</v>
      </c>
      <c r="E243" t="s">
        <v>74</v>
      </c>
      <c r="F243" t="s">
        <v>4180</v>
      </c>
      <c r="G243" t="s">
        <v>74</v>
      </c>
      <c r="H243" t="s">
        <v>74</v>
      </c>
      <c r="I243" t="s">
        <v>4181</v>
      </c>
      <c r="J243" t="s">
        <v>2434</v>
      </c>
      <c r="K243" t="s">
        <v>74</v>
      </c>
      <c r="L243" t="s">
        <v>74</v>
      </c>
      <c r="M243" t="s">
        <v>78</v>
      </c>
      <c r="N243" t="s">
        <v>79</v>
      </c>
      <c r="O243" t="s">
        <v>74</v>
      </c>
      <c r="P243" t="s">
        <v>74</v>
      </c>
      <c r="Q243" t="s">
        <v>74</v>
      </c>
      <c r="R243" t="s">
        <v>74</v>
      </c>
      <c r="S243" t="s">
        <v>74</v>
      </c>
      <c r="T243" t="s">
        <v>4182</v>
      </c>
      <c r="U243" t="s">
        <v>4183</v>
      </c>
      <c r="V243" t="s">
        <v>4184</v>
      </c>
      <c r="W243" t="s">
        <v>4185</v>
      </c>
      <c r="X243" t="s">
        <v>4186</v>
      </c>
      <c r="Y243" t="s">
        <v>4187</v>
      </c>
      <c r="Z243" t="s">
        <v>4188</v>
      </c>
      <c r="AA243" t="s">
        <v>74</v>
      </c>
      <c r="AB243" t="s">
        <v>4189</v>
      </c>
      <c r="AC243" t="s">
        <v>4190</v>
      </c>
      <c r="AD243" t="s">
        <v>140</v>
      </c>
      <c r="AE243" t="s">
        <v>74</v>
      </c>
      <c r="AF243" t="s">
        <v>74</v>
      </c>
      <c r="AG243">
        <v>53</v>
      </c>
      <c r="AH243">
        <v>95</v>
      </c>
      <c r="AI243">
        <v>98</v>
      </c>
      <c r="AJ243">
        <v>1</v>
      </c>
      <c r="AK243">
        <v>15</v>
      </c>
      <c r="AL243" t="s">
        <v>1592</v>
      </c>
      <c r="AM243" t="s">
        <v>1593</v>
      </c>
      <c r="AN243" t="s">
        <v>1594</v>
      </c>
      <c r="AO243" t="s">
        <v>2442</v>
      </c>
      <c r="AP243" t="s">
        <v>2443</v>
      </c>
      <c r="AQ243" t="s">
        <v>74</v>
      </c>
      <c r="AR243" t="s">
        <v>2444</v>
      </c>
      <c r="AS243" t="s">
        <v>2445</v>
      </c>
      <c r="AT243" t="s">
        <v>3318</v>
      </c>
      <c r="AU243">
        <v>2007</v>
      </c>
      <c r="AV243">
        <v>30</v>
      </c>
      <c r="AW243">
        <v>8</v>
      </c>
      <c r="AX243" t="s">
        <v>74</v>
      </c>
      <c r="AY243" t="s">
        <v>74</v>
      </c>
      <c r="AZ243" t="s">
        <v>74</v>
      </c>
      <c r="BA243" t="s">
        <v>74</v>
      </c>
      <c r="BB243">
        <v>1059</v>
      </c>
      <c r="BC243">
        <v>1068</v>
      </c>
      <c r="BD243" t="s">
        <v>74</v>
      </c>
      <c r="BE243" t="s">
        <v>4191</v>
      </c>
      <c r="BF243" t="str">
        <f>HYPERLINK("http://dx.doi.org/10.1007/s00300-007-0265-3","http://dx.doi.org/10.1007/s00300-007-0265-3")</f>
        <v>http://dx.doi.org/10.1007/s00300-007-0265-3</v>
      </c>
      <c r="BG243" t="s">
        <v>74</v>
      </c>
      <c r="BH243" t="s">
        <v>74</v>
      </c>
      <c r="BI243">
        <v>10</v>
      </c>
      <c r="BJ243" t="s">
        <v>97</v>
      </c>
      <c r="BK243" t="s">
        <v>98</v>
      </c>
      <c r="BL243" t="s">
        <v>99</v>
      </c>
      <c r="BM243" t="s">
        <v>4161</v>
      </c>
      <c r="BN243" t="s">
        <v>74</v>
      </c>
      <c r="BO243" t="s">
        <v>74</v>
      </c>
      <c r="BP243" t="s">
        <v>74</v>
      </c>
      <c r="BQ243" t="s">
        <v>74</v>
      </c>
      <c r="BR243" t="s">
        <v>101</v>
      </c>
      <c r="BS243" t="s">
        <v>4192</v>
      </c>
      <c r="BT243" t="str">
        <f>HYPERLINK("https%3A%2F%2Fwww.webofscience.com%2Fwos%2Fwoscc%2Ffull-record%2FWOS:000247212200011","View Full Record in Web of Science")</f>
        <v>View Full Record in Web of Science</v>
      </c>
    </row>
    <row r="244" spans="1:72" x14ac:dyDescent="0.15">
      <c r="A244" t="s">
        <v>72</v>
      </c>
      <c r="B244" t="s">
        <v>4193</v>
      </c>
      <c r="C244" t="s">
        <v>74</v>
      </c>
      <c r="D244" t="s">
        <v>74</v>
      </c>
      <c r="E244" t="s">
        <v>74</v>
      </c>
      <c r="F244" t="s">
        <v>4194</v>
      </c>
      <c r="G244" t="s">
        <v>74</v>
      </c>
      <c r="H244" t="s">
        <v>74</v>
      </c>
      <c r="I244" t="s">
        <v>4195</v>
      </c>
      <c r="J244" t="s">
        <v>2434</v>
      </c>
      <c r="K244" t="s">
        <v>74</v>
      </c>
      <c r="L244" t="s">
        <v>74</v>
      </c>
      <c r="M244" t="s">
        <v>78</v>
      </c>
      <c r="N244" t="s">
        <v>79</v>
      </c>
      <c r="O244" t="s">
        <v>74</v>
      </c>
      <c r="P244" t="s">
        <v>74</v>
      </c>
      <c r="Q244" t="s">
        <v>74</v>
      </c>
      <c r="R244" t="s">
        <v>74</v>
      </c>
      <c r="S244" t="s">
        <v>74</v>
      </c>
      <c r="T244" t="s">
        <v>4196</v>
      </c>
      <c r="U244" t="s">
        <v>4197</v>
      </c>
      <c r="V244" t="s">
        <v>4198</v>
      </c>
      <c r="W244" t="s">
        <v>4199</v>
      </c>
      <c r="X244" t="s">
        <v>4200</v>
      </c>
      <c r="Y244" t="s">
        <v>4201</v>
      </c>
      <c r="Z244" t="s">
        <v>4202</v>
      </c>
      <c r="AA244" t="s">
        <v>4203</v>
      </c>
      <c r="AB244" t="s">
        <v>4204</v>
      </c>
      <c r="AC244" t="s">
        <v>4205</v>
      </c>
      <c r="AD244" t="s">
        <v>361</v>
      </c>
      <c r="AE244" t="s">
        <v>74</v>
      </c>
      <c r="AF244" t="s">
        <v>74</v>
      </c>
      <c r="AG244">
        <v>57</v>
      </c>
      <c r="AH244">
        <v>23</v>
      </c>
      <c r="AI244">
        <v>24</v>
      </c>
      <c r="AJ244">
        <v>0</v>
      </c>
      <c r="AK244">
        <v>14</v>
      </c>
      <c r="AL244" t="s">
        <v>1592</v>
      </c>
      <c r="AM244" t="s">
        <v>1593</v>
      </c>
      <c r="AN244" t="s">
        <v>2406</v>
      </c>
      <c r="AO244" t="s">
        <v>2442</v>
      </c>
      <c r="AP244" t="s">
        <v>2443</v>
      </c>
      <c r="AQ244" t="s">
        <v>74</v>
      </c>
      <c r="AR244" t="s">
        <v>2444</v>
      </c>
      <c r="AS244" t="s">
        <v>2445</v>
      </c>
      <c r="AT244" t="s">
        <v>3318</v>
      </c>
      <c r="AU244">
        <v>2007</v>
      </c>
      <c r="AV244">
        <v>30</v>
      </c>
      <c r="AW244">
        <v>8</v>
      </c>
      <c r="AX244" t="s">
        <v>74</v>
      </c>
      <c r="AY244" t="s">
        <v>74</v>
      </c>
      <c r="AZ244" t="s">
        <v>74</v>
      </c>
      <c r="BA244" t="s">
        <v>74</v>
      </c>
      <c r="BB244">
        <v>1069</v>
      </c>
      <c r="BC244">
        <v>1081</v>
      </c>
      <c r="BD244" t="s">
        <v>74</v>
      </c>
      <c r="BE244" t="s">
        <v>4206</v>
      </c>
      <c r="BF244" t="str">
        <f>HYPERLINK("http://dx.doi.org/10.1007/s00300-007-0266-2","http://dx.doi.org/10.1007/s00300-007-0266-2")</f>
        <v>http://dx.doi.org/10.1007/s00300-007-0266-2</v>
      </c>
      <c r="BG244" t="s">
        <v>74</v>
      </c>
      <c r="BH244" t="s">
        <v>74</v>
      </c>
      <c r="BI244">
        <v>13</v>
      </c>
      <c r="BJ244" t="s">
        <v>97</v>
      </c>
      <c r="BK244" t="s">
        <v>98</v>
      </c>
      <c r="BL244" t="s">
        <v>99</v>
      </c>
      <c r="BM244" t="s">
        <v>4161</v>
      </c>
      <c r="BN244" t="s">
        <v>74</v>
      </c>
      <c r="BO244" t="s">
        <v>74</v>
      </c>
      <c r="BP244" t="s">
        <v>74</v>
      </c>
      <c r="BQ244" t="s">
        <v>74</v>
      </c>
      <c r="BR244" t="s">
        <v>101</v>
      </c>
      <c r="BS244" t="s">
        <v>4207</v>
      </c>
      <c r="BT244" t="str">
        <f>HYPERLINK("https%3A%2F%2Fwww.webofscience.com%2Fwos%2Fwoscc%2Ffull-record%2FWOS:000247212200012","View Full Record in Web of Science")</f>
        <v>View Full Record in Web of Science</v>
      </c>
    </row>
    <row r="245" spans="1:72" x14ac:dyDescent="0.15">
      <c r="A245" t="s">
        <v>72</v>
      </c>
      <c r="B245" t="s">
        <v>4208</v>
      </c>
      <c r="C245" t="s">
        <v>74</v>
      </c>
      <c r="D245" t="s">
        <v>74</v>
      </c>
      <c r="E245" t="s">
        <v>74</v>
      </c>
      <c r="F245" t="s">
        <v>4209</v>
      </c>
      <c r="G245" t="s">
        <v>74</v>
      </c>
      <c r="H245" t="s">
        <v>74</v>
      </c>
      <c r="I245" t="s">
        <v>4210</v>
      </c>
      <c r="J245" t="s">
        <v>4211</v>
      </c>
      <c r="K245" t="s">
        <v>74</v>
      </c>
      <c r="L245" t="s">
        <v>74</v>
      </c>
      <c r="M245" t="s">
        <v>78</v>
      </c>
      <c r="N245" t="s">
        <v>79</v>
      </c>
      <c r="O245" t="s">
        <v>74</v>
      </c>
      <c r="P245" t="s">
        <v>74</v>
      </c>
      <c r="Q245" t="s">
        <v>74</v>
      </c>
      <c r="R245" t="s">
        <v>74</v>
      </c>
      <c r="S245" t="s">
        <v>74</v>
      </c>
      <c r="T245" t="s">
        <v>74</v>
      </c>
      <c r="U245" t="s">
        <v>4212</v>
      </c>
      <c r="V245" t="s">
        <v>4213</v>
      </c>
      <c r="W245" t="s">
        <v>4214</v>
      </c>
      <c r="X245" t="s">
        <v>4215</v>
      </c>
      <c r="Y245" t="s">
        <v>4216</v>
      </c>
      <c r="Z245" t="s">
        <v>74</v>
      </c>
      <c r="AA245" t="s">
        <v>4217</v>
      </c>
      <c r="AB245" t="s">
        <v>4218</v>
      </c>
      <c r="AC245" t="s">
        <v>74</v>
      </c>
      <c r="AD245" t="s">
        <v>74</v>
      </c>
      <c r="AE245" t="s">
        <v>74</v>
      </c>
      <c r="AF245" t="s">
        <v>74</v>
      </c>
      <c r="AG245">
        <v>10</v>
      </c>
      <c r="AH245">
        <v>7</v>
      </c>
      <c r="AI245">
        <v>10</v>
      </c>
      <c r="AJ245">
        <v>2</v>
      </c>
      <c r="AK245">
        <v>6</v>
      </c>
      <c r="AL245" t="s">
        <v>4219</v>
      </c>
      <c r="AM245" t="s">
        <v>1593</v>
      </c>
      <c r="AN245" t="s">
        <v>4220</v>
      </c>
      <c r="AO245" t="s">
        <v>4221</v>
      </c>
      <c r="AP245" t="s">
        <v>74</v>
      </c>
      <c r="AQ245" t="s">
        <v>74</v>
      </c>
      <c r="AR245" t="s">
        <v>4222</v>
      </c>
      <c r="AS245" t="s">
        <v>4223</v>
      </c>
      <c r="AT245" t="s">
        <v>3318</v>
      </c>
      <c r="AU245">
        <v>2007</v>
      </c>
      <c r="AV245">
        <v>43</v>
      </c>
      <c r="AW245">
        <v>226</v>
      </c>
      <c r="AX245" t="s">
        <v>74</v>
      </c>
      <c r="AY245" t="s">
        <v>74</v>
      </c>
      <c r="AZ245" t="s">
        <v>74</v>
      </c>
      <c r="BA245" t="s">
        <v>74</v>
      </c>
      <c r="BB245">
        <v>225</v>
      </c>
      <c r="BC245">
        <v>229</v>
      </c>
      <c r="BD245" t="s">
        <v>74</v>
      </c>
      <c r="BE245" t="s">
        <v>4224</v>
      </c>
      <c r="BF245" t="str">
        <f>HYPERLINK("http://dx.doi.org/10.1017/S0032247407006365","http://dx.doi.org/10.1017/S0032247407006365")</f>
        <v>http://dx.doi.org/10.1017/S0032247407006365</v>
      </c>
      <c r="BG245" t="s">
        <v>74</v>
      </c>
      <c r="BH245" t="s">
        <v>74</v>
      </c>
      <c r="BI245">
        <v>5</v>
      </c>
      <c r="BJ245" t="s">
        <v>1743</v>
      </c>
      <c r="BK245" t="s">
        <v>98</v>
      </c>
      <c r="BL245" t="s">
        <v>911</v>
      </c>
      <c r="BM245" t="s">
        <v>4225</v>
      </c>
      <c r="BN245" t="s">
        <v>74</v>
      </c>
      <c r="BO245" t="s">
        <v>74</v>
      </c>
      <c r="BP245" t="s">
        <v>74</v>
      </c>
      <c r="BQ245" t="s">
        <v>74</v>
      </c>
      <c r="BR245" t="s">
        <v>101</v>
      </c>
      <c r="BS245" t="s">
        <v>4226</v>
      </c>
      <c r="BT245" t="str">
        <f>HYPERLINK("https%3A%2F%2Fwww.webofscience.com%2Fwos%2Fwoscc%2Ffull-record%2FWOS:000247645000003","View Full Record in Web of Science")</f>
        <v>View Full Record in Web of Science</v>
      </c>
    </row>
    <row r="246" spans="1:72" x14ac:dyDescent="0.15">
      <c r="A246" t="s">
        <v>72</v>
      </c>
      <c r="B246" t="s">
        <v>4227</v>
      </c>
      <c r="C246" t="s">
        <v>74</v>
      </c>
      <c r="D246" t="s">
        <v>74</v>
      </c>
      <c r="E246" t="s">
        <v>74</v>
      </c>
      <c r="F246" t="s">
        <v>4228</v>
      </c>
      <c r="G246" t="s">
        <v>74</v>
      </c>
      <c r="H246" t="s">
        <v>74</v>
      </c>
      <c r="I246" t="s">
        <v>4229</v>
      </c>
      <c r="J246" t="s">
        <v>4211</v>
      </c>
      <c r="K246" t="s">
        <v>74</v>
      </c>
      <c r="L246" t="s">
        <v>74</v>
      </c>
      <c r="M246" t="s">
        <v>78</v>
      </c>
      <c r="N246" t="s">
        <v>79</v>
      </c>
      <c r="O246" t="s">
        <v>74</v>
      </c>
      <c r="P246" t="s">
        <v>74</v>
      </c>
      <c r="Q246" t="s">
        <v>74</v>
      </c>
      <c r="R246" t="s">
        <v>74</v>
      </c>
      <c r="S246" t="s">
        <v>74</v>
      </c>
      <c r="T246" t="s">
        <v>74</v>
      </c>
      <c r="U246" t="s">
        <v>74</v>
      </c>
      <c r="V246" t="s">
        <v>4230</v>
      </c>
      <c r="W246" t="s">
        <v>4231</v>
      </c>
      <c r="X246" t="s">
        <v>4215</v>
      </c>
      <c r="Y246" t="s">
        <v>4232</v>
      </c>
      <c r="Z246" t="s">
        <v>74</v>
      </c>
      <c r="AA246" t="s">
        <v>74</v>
      </c>
      <c r="AB246" t="s">
        <v>4233</v>
      </c>
      <c r="AC246" t="s">
        <v>74</v>
      </c>
      <c r="AD246" t="s">
        <v>74</v>
      </c>
      <c r="AE246" t="s">
        <v>74</v>
      </c>
      <c r="AF246" t="s">
        <v>74</v>
      </c>
      <c r="AG246">
        <v>19</v>
      </c>
      <c r="AH246">
        <v>11</v>
      </c>
      <c r="AI246">
        <v>12</v>
      </c>
      <c r="AJ246">
        <v>0</v>
      </c>
      <c r="AK246">
        <v>6</v>
      </c>
      <c r="AL246" t="s">
        <v>4219</v>
      </c>
      <c r="AM246" t="s">
        <v>1593</v>
      </c>
      <c r="AN246" t="s">
        <v>4220</v>
      </c>
      <c r="AO246" t="s">
        <v>4221</v>
      </c>
      <c r="AP246" t="s">
        <v>74</v>
      </c>
      <c r="AQ246" t="s">
        <v>74</v>
      </c>
      <c r="AR246" t="s">
        <v>4222</v>
      </c>
      <c r="AS246" t="s">
        <v>4223</v>
      </c>
      <c r="AT246" t="s">
        <v>3318</v>
      </c>
      <c r="AU246">
        <v>2007</v>
      </c>
      <c r="AV246">
        <v>43</v>
      </c>
      <c r="AW246">
        <v>226</v>
      </c>
      <c r="AX246" t="s">
        <v>74</v>
      </c>
      <c r="AY246" t="s">
        <v>74</v>
      </c>
      <c r="AZ246" t="s">
        <v>74</v>
      </c>
      <c r="BA246" t="s">
        <v>74</v>
      </c>
      <c r="BB246">
        <v>239</v>
      </c>
      <c r="BC246">
        <v>246</v>
      </c>
      <c r="BD246" t="s">
        <v>74</v>
      </c>
      <c r="BE246" t="s">
        <v>4234</v>
      </c>
      <c r="BF246" t="str">
        <f>HYPERLINK("http://dx.doi.org/10.1017/S0032247407006547","http://dx.doi.org/10.1017/S0032247407006547")</f>
        <v>http://dx.doi.org/10.1017/S0032247407006547</v>
      </c>
      <c r="BG246" t="s">
        <v>74</v>
      </c>
      <c r="BH246" t="s">
        <v>74</v>
      </c>
      <c r="BI246">
        <v>8</v>
      </c>
      <c r="BJ246" t="s">
        <v>1743</v>
      </c>
      <c r="BK246" t="s">
        <v>98</v>
      </c>
      <c r="BL246" t="s">
        <v>911</v>
      </c>
      <c r="BM246" t="s">
        <v>4225</v>
      </c>
      <c r="BN246" t="s">
        <v>74</v>
      </c>
      <c r="BO246" t="s">
        <v>74</v>
      </c>
      <c r="BP246" t="s">
        <v>74</v>
      </c>
      <c r="BQ246" t="s">
        <v>74</v>
      </c>
      <c r="BR246" t="s">
        <v>101</v>
      </c>
      <c r="BS246" t="s">
        <v>4235</v>
      </c>
      <c r="BT246" t="str">
        <f>HYPERLINK("https%3A%2F%2Fwww.webofscience.com%2Fwos%2Fwoscc%2Ffull-record%2FWOS:000247645000005","View Full Record in Web of Science")</f>
        <v>View Full Record in Web of Science</v>
      </c>
    </row>
    <row r="247" spans="1:72" x14ac:dyDescent="0.15">
      <c r="A247" t="s">
        <v>72</v>
      </c>
      <c r="B247" t="s">
        <v>4236</v>
      </c>
      <c r="C247" t="s">
        <v>74</v>
      </c>
      <c r="D247" t="s">
        <v>74</v>
      </c>
      <c r="E247" t="s">
        <v>74</v>
      </c>
      <c r="F247" t="s">
        <v>4237</v>
      </c>
      <c r="G247" t="s">
        <v>74</v>
      </c>
      <c r="H247" t="s">
        <v>74</v>
      </c>
      <c r="I247" t="s">
        <v>4238</v>
      </c>
      <c r="J247" t="s">
        <v>802</v>
      </c>
      <c r="K247" t="s">
        <v>74</v>
      </c>
      <c r="L247" t="s">
        <v>74</v>
      </c>
      <c r="M247" t="s">
        <v>78</v>
      </c>
      <c r="N247" t="s">
        <v>79</v>
      </c>
      <c r="O247" t="s">
        <v>74</v>
      </c>
      <c r="P247" t="s">
        <v>74</v>
      </c>
      <c r="Q247" t="s">
        <v>74</v>
      </c>
      <c r="R247" t="s">
        <v>74</v>
      </c>
      <c r="S247" t="s">
        <v>74</v>
      </c>
      <c r="T247" t="s">
        <v>4239</v>
      </c>
      <c r="U247" t="s">
        <v>4240</v>
      </c>
      <c r="V247" t="s">
        <v>4241</v>
      </c>
      <c r="W247" t="s">
        <v>4242</v>
      </c>
      <c r="X247" t="s">
        <v>4243</v>
      </c>
      <c r="Y247" t="s">
        <v>4244</v>
      </c>
      <c r="Z247" t="s">
        <v>4245</v>
      </c>
      <c r="AA247" t="s">
        <v>74</v>
      </c>
      <c r="AB247" t="s">
        <v>74</v>
      </c>
      <c r="AC247" t="s">
        <v>74</v>
      </c>
      <c r="AD247" t="s">
        <v>74</v>
      </c>
      <c r="AE247" t="s">
        <v>74</v>
      </c>
      <c r="AF247" t="s">
        <v>74</v>
      </c>
      <c r="AG247">
        <v>99</v>
      </c>
      <c r="AH247">
        <v>11</v>
      </c>
      <c r="AI247">
        <v>13</v>
      </c>
      <c r="AJ247">
        <v>2</v>
      </c>
      <c r="AK247">
        <v>13</v>
      </c>
      <c r="AL247" t="s">
        <v>592</v>
      </c>
      <c r="AM247" t="s">
        <v>273</v>
      </c>
      <c r="AN247" t="s">
        <v>593</v>
      </c>
      <c r="AO247" t="s">
        <v>812</v>
      </c>
      <c r="AP247" t="s">
        <v>74</v>
      </c>
      <c r="AQ247" t="s">
        <v>74</v>
      </c>
      <c r="AR247" t="s">
        <v>814</v>
      </c>
      <c r="AS247" t="s">
        <v>815</v>
      </c>
      <c r="AT247" t="s">
        <v>3608</v>
      </c>
      <c r="AU247">
        <v>2007</v>
      </c>
      <c r="AV247">
        <v>199</v>
      </c>
      <c r="AW247" t="s">
        <v>280</v>
      </c>
      <c r="AX247" t="s">
        <v>74</v>
      </c>
      <c r="AY247" t="s">
        <v>74</v>
      </c>
      <c r="AZ247" t="s">
        <v>532</v>
      </c>
      <c r="BA247" t="s">
        <v>74</v>
      </c>
      <c r="BB247">
        <v>29</v>
      </c>
      <c r="BC247">
        <v>49</v>
      </c>
      <c r="BD247" t="s">
        <v>74</v>
      </c>
      <c r="BE247" t="s">
        <v>4246</v>
      </c>
      <c r="BF247" t="str">
        <f>HYPERLINK("http://dx.doi.org/10.1016/j.sedgeo.2005.12.032","http://dx.doi.org/10.1016/j.sedgeo.2005.12.032")</f>
        <v>http://dx.doi.org/10.1016/j.sedgeo.2005.12.032</v>
      </c>
      <c r="BG247" t="s">
        <v>74</v>
      </c>
      <c r="BH247" t="s">
        <v>74</v>
      </c>
      <c r="BI247">
        <v>21</v>
      </c>
      <c r="BJ247" t="s">
        <v>152</v>
      </c>
      <c r="BK247" t="s">
        <v>98</v>
      </c>
      <c r="BL247" t="s">
        <v>152</v>
      </c>
      <c r="BM247" t="s">
        <v>4247</v>
      </c>
      <c r="BN247" t="s">
        <v>74</v>
      </c>
      <c r="BO247" t="s">
        <v>198</v>
      </c>
      <c r="BP247" t="s">
        <v>74</v>
      </c>
      <c r="BQ247" t="s">
        <v>74</v>
      </c>
      <c r="BR247" t="s">
        <v>101</v>
      </c>
      <c r="BS247" t="s">
        <v>4248</v>
      </c>
      <c r="BT247" t="str">
        <f>HYPERLINK("https%3A%2F%2Fwww.webofscience.com%2Fwos%2Fwoscc%2Ffull-record%2FWOS:000247736200003","View Full Record in Web of Science")</f>
        <v>View Full Record in Web of Science</v>
      </c>
    </row>
    <row r="248" spans="1:72" x14ac:dyDescent="0.15">
      <c r="A248" t="s">
        <v>72</v>
      </c>
      <c r="B248" t="s">
        <v>4249</v>
      </c>
      <c r="C248" t="s">
        <v>74</v>
      </c>
      <c r="D248" t="s">
        <v>74</v>
      </c>
      <c r="E248" t="s">
        <v>74</v>
      </c>
      <c r="F248" t="s">
        <v>4250</v>
      </c>
      <c r="G248" t="s">
        <v>74</v>
      </c>
      <c r="H248" t="s">
        <v>74</v>
      </c>
      <c r="I248" t="s">
        <v>4251</v>
      </c>
      <c r="J248" t="s">
        <v>4252</v>
      </c>
      <c r="K248" t="s">
        <v>74</v>
      </c>
      <c r="L248" t="s">
        <v>74</v>
      </c>
      <c r="M248" t="s">
        <v>78</v>
      </c>
      <c r="N248" t="s">
        <v>79</v>
      </c>
      <c r="O248" t="s">
        <v>74</v>
      </c>
      <c r="P248" t="s">
        <v>74</v>
      </c>
      <c r="Q248" t="s">
        <v>74</v>
      </c>
      <c r="R248" t="s">
        <v>74</v>
      </c>
      <c r="S248" t="s">
        <v>74</v>
      </c>
      <c r="T248" t="s">
        <v>74</v>
      </c>
      <c r="U248" t="s">
        <v>4253</v>
      </c>
      <c r="V248" t="s">
        <v>4254</v>
      </c>
      <c r="W248" t="s">
        <v>4255</v>
      </c>
      <c r="X248" t="s">
        <v>4256</v>
      </c>
      <c r="Y248" t="s">
        <v>4257</v>
      </c>
      <c r="Z248" t="s">
        <v>4258</v>
      </c>
      <c r="AA248" t="s">
        <v>74</v>
      </c>
      <c r="AB248" t="s">
        <v>74</v>
      </c>
      <c r="AC248" t="s">
        <v>74</v>
      </c>
      <c r="AD248" t="s">
        <v>74</v>
      </c>
      <c r="AE248" t="s">
        <v>74</v>
      </c>
      <c r="AF248" t="s">
        <v>74</v>
      </c>
      <c r="AG248">
        <v>13</v>
      </c>
      <c r="AH248">
        <v>15</v>
      </c>
      <c r="AI248">
        <v>15</v>
      </c>
      <c r="AJ248">
        <v>0</v>
      </c>
      <c r="AK248">
        <v>1</v>
      </c>
      <c r="AL248" t="s">
        <v>1592</v>
      </c>
      <c r="AM248" t="s">
        <v>2052</v>
      </c>
      <c r="AN248" t="s">
        <v>2053</v>
      </c>
      <c r="AO248" t="s">
        <v>4259</v>
      </c>
      <c r="AP248" t="s">
        <v>74</v>
      </c>
      <c r="AQ248" t="s">
        <v>74</v>
      </c>
      <c r="AR248" t="s">
        <v>4260</v>
      </c>
      <c r="AS248" t="s">
        <v>4261</v>
      </c>
      <c r="AT248" t="s">
        <v>3318</v>
      </c>
      <c r="AU248">
        <v>2007</v>
      </c>
      <c r="AV248">
        <v>243</v>
      </c>
      <c r="AW248">
        <v>2</v>
      </c>
      <c r="AX248" t="s">
        <v>74</v>
      </c>
      <c r="AY248" t="s">
        <v>74</v>
      </c>
      <c r="AZ248" t="s">
        <v>74</v>
      </c>
      <c r="BA248" t="s">
        <v>74</v>
      </c>
      <c r="BB248">
        <v>231</v>
      </c>
      <c r="BC248">
        <v>235</v>
      </c>
      <c r="BD248" t="s">
        <v>74</v>
      </c>
      <c r="BE248" t="s">
        <v>4262</v>
      </c>
      <c r="BF248" t="str">
        <f>HYPERLINK("http://dx.doi.org/10.1007/s11207-007-0360-1","http://dx.doi.org/10.1007/s11207-007-0360-1")</f>
        <v>http://dx.doi.org/10.1007/s11207-007-0360-1</v>
      </c>
      <c r="BG248" t="s">
        <v>74</v>
      </c>
      <c r="BH248" t="s">
        <v>74</v>
      </c>
      <c r="BI248">
        <v>5</v>
      </c>
      <c r="BJ248" t="s">
        <v>175</v>
      </c>
      <c r="BK248" t="s">
        <v>98</v>
      </c>
      <c r="BL248" t="s">
        <v>175</v>
      </c>
      <c r="BM248" t="s">
        <v>4263</v>
      </c>
      <c r="BN248" t="s">
        <v>74</v>
      </c>
      <c r="BO248" t="s">
        <v>74</v>
      </c>
      <c r="BP248" t="s">
        <v>74</v>
      </c>
      <c r="BQ248" t="s">
        <v>74</v>
      </c>
      <c r="BR248" t="s">
        <v>101</v>
      </c>
      <c r="BS248" t="s">
        <v>4264</v>
      </c>
      <c r="BT248" t="str">
        <f>HYPERLINK("https%3A%2F%2Fwww.webofscience.com%2Fwos%2Fwoscc%2Ffull-record%2FWOS:000249803600010","View Full Record in Web of Science")</f>
        <v>View Full Record in Web of Science</v>
      </c>
    </row>
    <row r="249" spans="1:72" x14ac:dyDescent="0.15">
      <c r="A249" t="s">
        <v>72</v>
      </c>
      <c r="B249" t="s">
        <v>4265</v>
      </c>
      <c r="C249" t="s">
        <v>74</v>
      </c>
      <c r="D249" t="s">
        <v>74</v>
      </c>
      <c r="E249" t="s">
        <v>74</v>
      </c>
      <c r="F249" t="s">
        <v>4266</v>
      </c>
      <c r="G249" t="s">
        <v>74</v>
      </c>
      <c r="H249" t="s">
        <v>74</v>
      </c>
      <c r="I249" t="s">
        <v>4267</v>
      </c>
      <c r="J249" t="s">
        <v>4268</v>
      </c>
      <c r="K249" t="s">
        <v>74</v>
      </c>
      <c r="L249" t="s">
        <v>74</v>
      </c>
      <c r="M249" t="s">
        <v>78</v>
      </c>
      <c r="N249" t="s">
        <v>79</v>
      </c>
      <c r="O249" t="s">
        <v>74</v>
      </c>
      <c r="P249" t="s">
        <v>74</v>
      </c>
      <c r="Q249" t="s">
        <v>74</v>
      </c>
      <c r="R249" t="s">
        <v>74</v>
      </c>
      <c r="S249" t="s">
        <v>74</v>
      </c>
      <c r="T249" t="s">
        <v>4269</v>
      </c>
      <c r="U249" t="s">
        <v>4270</v>
      </c>
      <c r="V249" t="s">
        <v>4271</v>
      </c>
      <c r="W249" t="s">
        <v>4272</v>
      </c>
      <c r="X249" t="s">
        <v>4273</v>
      </c>
      <c r="Y249" t="s">
        <v>4274</v>
      </c>
      <c r="Z249" t="s">
        <v>4275</v>
      </c>
      <c r="AA249" t="s">
        <v>4276</v>
      </c>
      <c r="AB249" t="s">
        <v>4277</v>
      </c>
      <c r="AC249" t="s">
        <v>74</v>
      </c>
      <c r="AD249" t="s">
        <v>74</v>
      </c>
      <c r="AE249" t="s">
        <v>74</v>
      </c>
      <c r="AF249" t="s">
        <v>74</v>
      </c>
      <c r="AG249">
        <v>72</v>
      </c>
      <c r="AH249">
        <v>22</v>
      </c>
      <c r="AI249">
        <v>22</v>
      </c>
      <c r="AJ249">
        <v>0</v>
      </c>
      <c r="AK249">
        <v>0</v>
      </c>
      <c r="AL249" t="s">
        <v>272</v>
      </c>
      <c r="AM249" t="s">
        <v>273</v>
      </c>
      <c r="AN249" t="s">
        <v>274</v>
      </c>
      <c r="AO249" t="s">
        <v>4278</v>
      </c>
      <c r="AP249" t="s">
        <v>4279</v>
      </c>
      <c r="AQ249" t="s">
        <v>74</v>
      </c>
      <c r="AR249" t="s">
        <v>4280</v>
      </c>
      <c r="AS249" t="s">
        <v>4281</v>
      </c>
      <c r="AT249" t="s">
        <v>4282</v>
      </c>
      <c r="AU249">
        <v>2007</v>
      </c>
      <c r="AV249">
        <v>156</v>
      </c>
      <c r="AW249" t="s">
        <v>686</v>
      </c>
      <c r="AX249" t="s">
        <v>74</v>
      </c>
      <c r="AY249" t="s">
        <v>74</v>
      </c>
      <c r="AZ249" t="s">
        <v>74</v>
      </c>
      <c r="BA249" t="s">
        <v>74</v>
      </c>
      <c r="BB249">
        <v>153</v>
      </c>
      <c r="BC249">
        <v>174</v>
      </c>
      <c r="BD249" t="s">
        <v>74</v>
      </c>
      <c r="BE249" t="s">
        <v>4283</v>
      </c>
      <c r="BF249" t="str">
        <f>HYPERLINK("http://dx.doi.org/10.1016/j.precamres.2007.03.005","http://dx.doi.org/10.1016/j.precamres.2007.03.005")</f>
        <v>http://dx.doi.org/10.1016/j.precamres.2007.03.005</v>
      </c>
      <c r="BG249" t="s">
        <v>74</v>
      </c>
      <c r="BH249" t="s">
        <v>74</v>
      </c>
      <c r="BI249">
        <v>22</v>
      </c>
      <c r="BJ249" t="s">
        <v>151</v>
      </c>
      <c r="BK249" t="s">
        <v>98</v>
      </c>
      <c r="BL249" t="s">
        <v>152</v>
      </c>
      <c r="BM249" t="s">
        <v>4284</v>
      </c>
      <c r="BN249" t="s">
        <v>74</v>
      </c>
      <c r="BO249" t="s">
        <v>74</v>
      </c>
      <c r="BP249" t="s">
        <v>74</v>
      </c>
      <c r="BQ249" t="s">
        <v>74</v>
      </c>
      <c r="BR249" t="s">
        <v>101</v>
      </c>
      <c r="BS249" t="s">
        <v>4285</v>
      </c>
      <c r="BT249" t="str">
        <f>HYPERLINK("https%3A%2F%2Fwww.webofscience.com%2Fwos%2Fwoscc%2Ffull-record%2FWOS:000248333200002","View Full Record in Web of Science")</f>
        <v>View Full Record in Web of Science</v>
      </c>
    </row>
    <row r="250" spans="1:72" x14ac:dyDescent="0.15">
      <c r="A250" t="s">
        <v>72</v>
      </c>
      <c r="B250" t="s">
        <v>4286</v>
      </c>
      <c r="C250" t="s">
        <v>74</v>
      </c>
      <c r="D250" t="s">
        <v>74</v>
      </c>
      <c r="E250" t="s">
        <v>74</v>
      </c>
      <c r="F250" t="s">
        <v>4287</v>
      </c>
      <c r="G250" t="s">
        <v>74</v>
      </c>
      <c r="H250" t="s">
        <v>74</v>
      </c>
      <c r="I250" t="s">
        <v>4288</v>
      </c>
      <c r="J250" t="s">
        <v>351</v>
      </c>
      <c r="K250" t="s">
        <v>74</v>
      </c>
      <c r="L250" t="s">
        <v>74</v>
      </c>
      <c r="M250" t="s">
        <v>78</v>
      </c>
      <c r="N250" t="s">
        <v>79</v>
      </c>
      <c r="O250" t="s">
        <v>74</v>
      </c>
      <c r="P250" t="s">
        <v>74</v>
      </c>
      <c r="Q250" t="s">
        <v>74</v>
      </c>
      <c r="R250" t="s">
        <v>74</v>
      </c>
      <c r="S250" t="s">
        <v>74</v>
      </c>
      <c r="T250" t="s">
        <v>74</v>
      </c>
      <c r="U250" t="s">
        <v>4289</v>
      </c>
      <c r="V250" t="s">
        <v>4290</v>
      </c>
      <c r="W250" t="s">
        <v>4291</v>
      </c>
      <c r="X250" t="s">
        <v>4292</v>
      </c>
      <c r="Y250" t="s">
        <v>4293</v>
      </c>
      <c r="Z250" t="s">
        <v>4294</v>
      </c>
      <c r="AA250" t="s">
        <v>4295</v>
      </c>
      <c r="AB250" t="s">
        <v>4296</v>
      </c>
      <c r="AC250" t="s">
        <v>74</v>
      </c>
      <c r="AD250" t="s">
        <v>74</v>
      </c>
      <c r="AE250" t="s">
        <v>74</v>
      </c>
      <c r="AF250" t="s">
        <v>74</v>
      </c>
      <c r="AG250">
        <v>52</v>
      </c>
      <c r="AH250">
        <v>103</v>
      </c>
      <c r="AI250">
        <v>109</v>
      </c>
      <c r="AJ250">
        <v>0</v>
      </c>
      <c r="AK250">
        <v>41</v>
      </c>
      <c r="AL250" t="s">
        <v>362</v>
      </c>
      <c r="AM250" t="s">
        <v>363</v>
      </c>
      <c r="AN250" t="s">
        <v>364</v>
      </c>
      <c r="AO250" t="s">
        <v>365</v>
      </c>
      <c r="AP250" t="s">
        <v>74</v>
      </c>
      <c r="AQ250" t="s">
        <v>74</v>
      </c>
      <c r="AR250" t="s">
        <v>351</v>
      </c>
      <c r="AS250" t="s">
        <v>367</v>
      </c>
      <c r="AT250" t="s">
        <v>4297</v>
      </c>
      <c r="AU250">
        <v>2007</v>
      </c>
      <c r="AV250">
        <v>447</v>
      </c>
      <c r="AW250">
        <v>7148</v>
      </c>
      <c r="AX250" t="s">
        <v>74</v>
      </c>
      <c r="AY250" t="s">
        <v>74</v>
      </c>
      <c r="AZ250" t="s">
        <v>74</v>
      </c>
      <c r="BA250" t="s">
        <v>74</v>
      </c>
      <c r="BB250">
        <v>1069</v>
      </c>
      <c r="BC250">
        <v>1074</v>
      </c>
      <c r="BD250" t="s">
        <v>74</v>
      </c>
      <c r="BE250" t="s">
        <v>4298</v>
      </c>
      <c r="BF250" t="str">
        <f>HYPERLINK("http://dx.doi.org/10.1038/nature05920","http://dx.doi.org/10.1038/nature05920")</f>
        <v>http://dx.doi.org/10.1038/nature05920</v>
      </c>
      <c r="BG250" t="s">
        <v>74</v>
      </c>
      <c r="BH250" t="s">
        <v>74</v>
      </c>
      <c r="BI250">
        <v>6</v>
      </c>
      <c r="BJ250" t="s">
        <v>241</v>
      </c>
      <c r="BK250" t="s">
        <v>98</v>
      </c>
      <c r="BL250" t="s">
        <v>242</v>
      </c>
      <c r="BM250" t="s">
        <v>4299</v>
      </c>
      <c r="BN250">
        <v>17597754</v>
      </c>
      <c r="BO250" t="s">
        <v>74</v>
      </c>
      <c r="BP250" t="s">
        <v>74</v>
      </c>
      <c r="BQ250" t="s">
        <v>74</v>
      </c>
      <c r="BR250" t="s">
        <v>101</v>
      </c>
      <c r="BS250" t="s">
        <v>4300</v>
      </c>
      <c r="BT250" t="str">
        <f>HYPERLINK("https%3A%2F%2Fwww.webofscience.com%2Fwos%2Fwoscc%2Ffull-record%2FWOS:000247564600029","View Full Record in Web of Science")</f>
        <v>View Full Record in Web of Science</v>
      </c>
    </row>
    <row r="251" spans="1:72" x14ac:dyDescent="0.15">
      <c r="A251" t="s">
        <v>72</v>
      </c>
      <c r="B251" t="s">
        <v>4301</v>
      </c>
      <c r="C251" t="s">
        <v>74</v>
      </c>
      <c r="D251" t="s">
        <v>74</v>
      </c>
      <c r="E251" t="s">
        <v>74</v>
      </c>
      <c r="F251" t="s">
        <v>4302</v>
      </c>
      <c r="G251" t="s">
        <v>74</v>
      </c>
      <c r="H251" t="s">
        <v>74</v>
      </c>
      <c r="I251" t="s">
        <v>4303</v>
      </c>
      <c r="J251" t="s">
        <v>130</v>
      </c>
      <c r="K251" t="s">
        <v>74</v>
      </c>
      <c r="L251" t="s">
        <v>74</v>
      </c>
      <c r="M251" t="s">
        <v>78</v>
      </c>
      <c r="N251" t="s">
        <v>79</v>
      </c>
      <c r="O251" t="s">
        <v>74</v>
      </c>
      <c r="P251" t="s">
        <v>74</v>
      </c>
      <c r="Q251" t="s">
        <v>74</v>
      </c>
      <c r="R251" t="s">
        <v>74</v>
      </c>
      <c r="S251" t="s">
        <v>74</v>
      </c>
      <c r="T251" t="s">
        <v>74</v>
      </c>
      <c r="U251" t="s">
        <v>74</v>
      </c>
      <c r="V251" t="s">
        <v>4304</v>
      </c>
      <c r="W251" t="s">
        <v>4305</v>
      </c>
      <c r="X251" t="s">
        <v>4306</v>
      </c>
      <c r="Y251" t="s">
        <v>4307</v>
      </c>
      <c r="Z251" t="s">
        <v>4308</v>
      </c>
      <c r="AA251" t="s">
        <v>4309</v>
      </c>
      <c r="AB251" t="s">
        <v>4310</v>
      </c>
      <c r="AC251" t="s">
        <v>1125</v>
      </c>
      <c r="AD251" t="s">
        <v>361</v>
      </c>
      <c r="AE251" t="s">
        <v>74</v>
      </c>
      <c r="AF251" t="s">
        <v>74</v>
      </c>
      <c r="AG251">
        <v>14</v>
      </c>
      <c r="AH251">
        <v>85</v>
      </c>
      <c r="AI251">
        <v>87</v>
      </c>
      <c r="AJ251">
        <v>0</v>
      </c>
      <c r="AK251">
        <v>9</v>
      </c>
      <c r="AL251" t="s">
        <v>141</v>
      </c>
      <c r="AM251" t="s">
        <v>142</v>
      </c>
      <c r="AN251" t="s">
        <v>143</v>
      </c>
      <c r="AO251" t="s">
        <v>144</v>
      </c>
      <c r="AP251" t="s">
        <v>74</v>
      </c>
      <c r="AQ251" t="s">
        <v>74</v>
      </c>
      <c r="AR251" t="s">
        <v>146</v>
      </c>
      <c r="AS251" t="s">
        <v>147</v>
      </c>
      <c r="AT251" t="s">
        <v>4311</v>
      </c>
      <c r="AU251">
        <v>2007</v>
      </c>
      <c r="AV251">
        <v>34</v>
      </c>
      <c r="AW251">
        <v>12</v>
      </c>
      <c r="AX251" t="s">
        <v>74</v>
      </c>
      <c r="AY251" t="s">
        <v>74</v>
      </c>
      <c r="AZ251" t="s">
        <v>74</v>
      </c>
      <c r="BA251" t="s">
        <v>74</v>
      </c>
      <c r="BB251" t="s">
        <v>74</v>
      </c>
      <c r="BC251" t="s">
        <v>74</v>
      </c>
      <c r="BD251" t="s">
        <v>4312</v>
      </c>
      <c r="BE251" t="s">
        <v>4313</v>
      </c>
      <c r="BF251" t="str">
        <f>HYPERLINK("http://dx.doi.org/10.1029/2007GL029733","http://dx.doi.org/10.1029/2007GL029733")</f>
        <v>http://dx.doi.org/10.1029/2007GL029733</v>
      </c>
      <c r="BG251" t="s">
        <v>74</v>
      </c>
      <c r="BH251" t="s">
        <v>74</v>
      </c>
      <c r="BI251">
        <v>5</v>
      </c>
      <c r="BJ251" t="s">
        <v>151</v>
      </c>
      <c r="BK251" t="s">
        <v>98</v>
      </c>
      <c r="BL251" t="s">
        <v>152</v>
      </c>
      <c r="BM251" t="s">
        <v>4314</v>
      </c>
      <c r="BN251" t="s">
        <v>74</v>
      </c>
      <c r="BO251" t="s">
        <v>154</v>
      </c>
      <c r="BP251" t="s">
        <v>74</v>
      </c>
      <c r="BQ251" t="s">
        <v>74</v>
      </c>
      <c r="BR251" t="s">
        <v>101</v>
      </c>
      <c r="BS251" t="s">
        <v>4315</v>
      </c>
      <c r="BT251" t="str">
        <f>HYPERLINK("https%3A%2F%2Fwww.webofscience.com%2Fwos%2Fwoscc%2Ffull-record%2FWOS:000247680800002","View Full Record in Web of Science")</f>
        <v>View Full Record in Web of Science</v>
      </c>
    </row>
    <row r="252" spans="1:72" x14ac:dyDescent="0.15">
      <c r="A252" t="s">
        <v>72</v>
      </c>
      <c r="B252" t="s">
        <v>4316</v>
      </c>
      <c r="C252" t="s">
        <v>74</v>
      </c>
      <c r="D252" t="s">
        <v>74</v>
      </c>
      <c r="E252" t="s">
        <v>74</v>
      </c>
      <c r="F252" t="s">
        <v>4317</v>
      </c>
      <c r="G252" t="s">
        <v>74</v>
      </c>
      <c r="H252" t="s">
        <v>74</v>
      </c>
      <c r="I252" t="s">
        <v>4318</v>
      </c>
      <c r="J252" t="s">
        <v>416</v>
      </c>
      <c r="K252" t="s">
        <v>74</v>
      </c>
      <c r="L252" t="s">
        <v>74</v>
      </c>
      <c r="M252" t="s">
        <v>78</v>
      </c>
      <c r="N252" t="s">
        <v>79</v>
      </c>
      <c r="O252" t="s">
        <v>74</v>
      </c>
      <c r="P252" t="s">
        <v>74</v>
      </c>
      <c r="Q252" t="s">
        <v>74</v>
      </c>
      <c r="R252" t="s">
        <v>74</v>
      </c>
      <c r="S252" t="s">
        <v>74</v>
      </c>
      <c r="T252" t="s">
        <v>74</v>
      </c>
      <c r="U252" t="s">
        <v>4319</v>
      </c>
      <c r="V252" t="s">
        <v>4320</v>
      </c>
      <c r="W252" t="s">
        <v>4321</v>
      </c>
      <c r="X252" t="s">
        <v>4322</v>
      </c>
      <c r="Y252" t="s">
        <v>4323</v>
      </c>
      <c r="Z252" t="s">
        <v>4324</v>
      </c>
      <c r="AA252" t="s">
        <v>4325</v>
      </c>
      <c r="AB252" t="s">
        <v>4326</v>
      </c>
      <c r="AC252" t="s">
        <v>4327</v>
      </c>
      <c r="AD252" t="s">
        <v>426</v>
      </c>
      <c r="AE252" t="s">
        <v>74</v>
      </c>
      <c r="AF252" t="s">
        <v>74</v>
      </c>
      <c r="AG252">
        <v>67</v>
      </c>
      <c r="AH252">
        <v>19</v>
      </c>
      <c r="AI252">
        <v>19</v>
      </c>
      <c r="AJ252">
        <v>0</v>
      </c>
      <c r="AK252">
        <v>7</v>
      </c>
      <c r="AL252" t="s">
        <v>141</v>
      </c>
      <c r="AM252" t="s">
        <v>142</v>
      </c>
      <c r="AN252" t="s">
        <v>143</v>
      </c>
      <c r="AO252" t="s">
        <v>427</v>
      </c>
      <c r="AP252" t="s">
        <v>428</v>
      </c>
      <c r="AQ252" t="s">
        <v>74</v>
      </c>
      <c r="AR252" t="s">
        <v>429</v>
      </c>
      <c r="AS252" t="s">
        <v>430</v>
      </c>
      <c r="AT252" t="s">
        <v>4311</v>
      </c>
      <c r="AU252">
        <v>2007</v>
      </c>
      <c r="AV252">
        <v>112</v>
      </c>
      <c r="AW252" t="s">
        <v>4328</v>
      </c>
      <c r="AX252" t="s">
        <v>74</v>
      </c>
      <c r="AY252" t="s">
        <v>74</v>
      </c>
      <c r="AZ252" t="s">
        <v>74</v>
      </c>
      <c r="BA252" t="s">
        <v>74</v>
      </c>
      <c r="BB252" t="s">
        <v>74</v>
      </c>
      <c r="BC252" t="s">
        <v>74</v>
      </c>
      <c r="BD252" t="s">
        <v>4329</v>
      </c>
      <c r="BE252" t="s">
        <v>4330</v>
      </c>
      <c r="BF252" t="str">
        <f>HYPERLINK("http://dx.doi.org/10.1029/2006JD008370","http://dx.doi.org/10.1029/2006JD008370")</f>
        <v>http://dx.doi.org/10.1029/2006JD008370</v>
      </c>
      <c r="BG252" t="s">
        <v>74</v>
      </c>
      <c r="BH252" t="s">
        <v>74</v>
      </c>
      <c r="BI252">
        <v>13</v>
      </c>
      <c r="BJ252" t="s">
        <v>435</v>
      </c>
      <c r="BK252" t="s">
        <v>98</v>
      </c>
      <c r="BL252" t="s">
        <v>435</v>
      </c>
      <c r="BM252" t="s">
        <v>4331</v>
      </c>
      <c r="BN252" t="s">
        <v>74</v>
      </c>
      <c r="BO252" t="s">
        <v>3113</v>
      </c>
      <c r="BP252" t="s">
        <v>74</v>
      </c>
      <c r="BQ252" t="s">
        <v>74</v>
      </c>
      <c r="BR252" t="s">
        <v>101</v>
      </c>
      <c r="BS252" t="s">
        <v>4332</v>
      </c>
      <c r="BT252" t="str">
        <f>HYPERLINK("https%3A%2F%2Fwww.webofscience.com%2Fwos%2Fwoscc%2Ffull-record%2FWOS:000247682800001","View Full Record in Web of Science")</f>
        <v>View Full Record in Web of Science</v>
      </c>
    </row>
    <row r="253" spans="1:72" x14ac:dyDescent="0.15">
      <c r="A253" t="s">
        <v>72</v>
      </c>
      <c r="B253" t="s">
        <v>4333</v>
      </c>
      <c r="C253" t="s">
        <v>74</v>
      </c>
      <c r="D253" t="s">
        <v>74</v>
      </c>
      <c r="E253" t="s">
        <v>74</v>
      </c>
      <c r="F253" t="s">
        <v>4334</v>
      </c>
      <c r="G253" t="s">
        <v>74</v>
      </c>
      <c r="H253" t="s">
        <v>74</v>
      </c>
      <c r="I253" t="s">
        <v>4335</v>
      </c>
      <c r="J253" t="s">
        <v>4336</v>
      </c>
      <c r="K253" t="s">
        <v>74</v>
      </c>
      <c r="L253" t="s">
        <v>74</v>
      </c>
      <c r="M253" t="s">
        <v>78</v>
      </c>
      <c r="N253" t="s">
        <v>79</v>
      </c>
      <c r="O253" t="s">
        <v>74</v>
      </c>
      <c r="P253" t="s">
        <v>74</v>
      </c>
      <c r="Q253" t="s">
        <v>74</v>
      </c>
      <c r="R253" t="s">
        <v>74</v>
      </c>
      <c r="S253" t="s">
        <v>74</v>
      </c>
      <c r="T253" t="s">
        <v>4337</v>
      </c>
      <c r="U253" t="s">
        <v>4338</v>
      </c>
      <c r="V253" t="s">
        <v>4339</v>
      </c>
      <c r="W253" t="s">
        <v>4340</v>
      </c>
      <c r="X253" t="s">
        <v>4341</v>
      </c>
      <c r="Y253" t="s">
        <v>4342</v>
      </c>
      <c r="Z253" t="s">
        <v>4343</v>
      </c>
      <c r="AA253" t="s">
        <v>3960</v>
      </c>
      <c r="AB253" t="s">
        <v>3961</v>
      </c>
      <c r="AC253" t="s">
        <v>74</v>
      </c>
      <c r="AD253" t="s">
        <v>74</v>
      </c>
      <c r="AE253" t="s">
        <v>74</v>
      </c>
      <c r="AF253" t="s">
        <v>74</v>
      </c>
      <c r="AG253">
        <v>48</v>
      </c>
      <c r="AH253">
        <v>71</v>
      </c>
      <c r="AI253">
        <v>80</v>
      </c>
      <c r="AJ253">
        <v>3</v>
      </c>
      <c r="AK253">
        <v>58</v>
      </c>
      <c r="AL253" t="s">
        <v>4344</v>
      </c>
      <c r="AM253" t="s">
        <v>4345</v>
      </c>
      <c r="AN253" t="s">
        <v>4346</v>
      </c>
      <c r="AO253" t="s">
        <v>4347</v>
      </c>
      <c r="AP253" t="s">
        <v>74</v>
      </c>
      <c r="AQ253" t="s">
        <v>74</v>
      </c>
      <c r="AR253" t="s">
        <v>4348</v>
      </c>
      <c r="AS253" t="s">
        <v>4349</v>
      </c>
      <c r="AT253" t="s">
        <v>4311</v>
      </c>
      <c r="AU253">
        <v>2007</v>
      </c>
      <c r="AV253">
        <v>87</v>
      </c>
      <c r="AW253">
        <v>3</v>
      </c>
      <c r="AX253" t="s">
        <v>74</v>
      </c>
      <c r="AY253" t="s">
        <v>74</v>
      </c>
      <c r="AZ253" t="s">
        <v>74</v>
      </c>
      <c r="BA253" t="s">
        <v>74</v>
      </c>
      <c r="BB253">
        <v>218</v>
      </c>
      <c r="BC253">
        <v>226</v>
      </c>
      <c r="BD253" t="s">
        <v>74</v>
      </c>
      <c r="BE253" t="s">
        <v>4350</v>
      </c>
      <c r="BF253" t="str">
        <f>HYPERLINK("http://dx.doi.org/10.1016/j.jphotobiol.2007.04.002","http://dx.doi.org/10.1016/j.jphotobiol.2007.04.002")</f>
        <v>http://dx.doi.org/10.1016/j.jphotobiol.2007.04.002</v>
      </c>
      <c r="BG253" t="s">
        <v>74</v>
      </c>
      <c r="BH253" t="s">
        <v>74</v>
      </c>
      <c r="BI253">
        <v>9</v>
      </c>
      <c r="BJ253" t="s">
        <v>4106</v>
      </c>
      <c r="BK253" t="s">
        <v>98</v>
      </c>
      <c r="BL253" t="s">
        <v>4106</v>
      </c>
      <c r="BM253" t="s">
        <v>4351</v>
      </c>
      <c r="BN253">
        <v>17553689</v>
      </c>
      <c r="BO253" t="s">
        <v>198</v>
      </c>
      <c r="BP253" t="s">
        <v>74</v>
      </c>
      <c r="BQ253" t="s">
        <v>74</v>
      </c>
      <c r="BR253" t="s">
        <v>101</v>
      </c>
      <c r="BS253" t="s">
        <v>4352</v>
      </c>
      <c r="BT253" t="str">
        <f>HYPERLINK("https%3A%2F%2Fwww.webofscience.com%2Fwos%2Fwoscc%2Ffull-record%2FWOS:000247740600009","View Full Record in Web of Science")</f>
        <v>View Full Record in Web of Science</v>
      </c>
    </row>
    <row r="254" spans="1:72" x14ac:dyDescent="0.15">
      <c r="A254" t="s">
        <v>72</v>
      </c>
      <c r="B254" t="s">
        <v>4353</v>
      </c>
      <c r="C254" t="s">
        <v>74</v>
      </c>
      <c r="D254" t="s">
        <v>74</v>
      </c>
      <c r="E254" t="s">
        <v>74</v>
      </c>
      <c r="F254" t="s">
        <v>4354</v>
      </c>
      <c r="G254" t="s">
        <v>74</v>
      </c>
      <c r="H254" t="s">
        <v>74</v>
      </c>
      <c r="I254" t="s">
        <v>4355</v>
      </c>
      <c r="J254" t="s">
        <v>4356</v>
      </c>
      <c r="K254" t="s">
        <v>74</v>
      </c>
      <c r="L254" t="s">
        <v>74</v>
      </c>
      <c r="M254" t="s">
        <v>78</v>
      </c>
      <c r="N254" t="s">
        <v>79</v>
      </c>
      <c r="O254" t="s">
        <v>74</v>
      </c>
      <c r="P254" t="s">
        <v>74</v>
      </c>
      <c r="Q254" t="s">
        <v>74</v>
      </c>
      <c r="R254" t="s">
        <v>74</v>
      </c>
      <c r="S254" t="s">
        <v>74</v>
      </c>
      <c r="T254" t="s">
        <v>74</v>
      </c>
      <c r="U254" t="s">
        <v>4357</v>
      </c>
      <c r="V254" t="s">
        <v>4358</v>
      </c>
      <c r="W254" t="s">
        <v>4359</v>
      </c>
      <c r="X254" t="s">
        <v>4360</v>
      </c>
      <c r="Y254" t="s">
        <v>4361</v>
      </c>
      <c r="Z254" t="s">
        <v>74</v>
      </c>
      <c r="AA254" t="s">
        <v>4362</v>
      </c>
      <c r="AB254" t="s">
        <v>4363</v>
      </c>
      <c r="AC254" t="s">
        <v>74</v>
      </c>
      <c r="AD254" t="s">
        <v>74</v>
      </c>
      <c r="AE254" t="s">
        <v>74</v>
      </c>
      <c r="AF254" t="s">
        <v>74</v>
      </c>
      <c r="AG254">
        <v>35</v>
      </c>
      <c r="AH254">
        <v>46</v>
      </c>
      <c r="AI254">
        <v>50</v>
      </c>
      <c r="AJ254">
        <v>0</v>
      </c>
      <c r="AK254">
        <v>8</v>
      </c>
      <c r="AL254" t="s">
        <v>4364</v>
      </c>
      <c r="AM254" t="s">
        <v>4365</v>
      </c>
      <c r="AN254" t="s">
        <v>4366</v>
      </c>
      <c r="AO254" t="s">
        <v>4367</v>
      </c>
      <c r="AP254" t="s">
        <v>4368</v>
      </c>
      <c r="AQ254" t="s">
        <v>74</v>
      </c>
      <c r="AR254" t="s">
        <v>4369</v>
      </c>
      <c r="AS254" t="s">
        <v>4370</v>
      </c>
      <c r="AT254" t="s">
        <v>4371</v>
      </c>
      <c r="AU254">
        <v>2007</v>
      </c>
      <c r="AV254">
        <v>12</v>
      </c>
      <c r="AW254">
        <v>3</v>
      </c>
      <c r="AX254" t="s">
        <v>74</v>
      </c>
      <c r="AY254" t="s">
        <v>74</v>
      </c>
      <c r="AZ254" t="s">
        <v>74</v>
      </c>
      <c r="BA254" t="s">
        <v>74</v>
      </c>
      <c r="BB254">
        <v>397</v>
      </c>
      <c r="BC254">
        <v>408</v>
      </c>
      <c r="BD254" t="s">
        <v>74</v>
      </c>
      <c r="BE254" t="s">
        <v>74</v>
      </c>
      <c r="BF254" t="s">
        <v>74</v>
      </c>
      <c r="BG254" t="s">
        <v>74</v>
      </c>
      <c r="BH254" t="s">
        <v>74</v>
      </c>
      <c r="BI254">
        <v>12</v>
      </c>
      <c r="BJ254" t="s">
        <v>4372</v>
      </c>
      <c r="BK254" t="s">
        <v>98</v>
      </c>
      <c r="BL254" t="s">
        <v>911</v>
      </c>
      <c r="BM254" t="s">
        <v>4373</v>
      </c>
      <c r="BN254" t="s">
        <v>74</v>
      </c>
      <c r="BO254" t="s">
        <v>74</v>
      </c>
      <c r="BP254" t="s">
        <v>74</v>
      </c>
      <c r="BQ254" t="s">
        <v>74</v>
      </c>
      <c r="BR254" t="s">
        <v>101</v>
      </c>
      <c r="BS254" t="s">
        <v>4374</v>
      </c>
      <c r="BT254" t="str">
        <f>HYPERLINK("https%3A%2F%2Fwww.webofscience.com%2Fwos%2Fwoscc%2Ffull-record%2FWOS:000247895000012","View Full Record in Web of Science")</f>
        <v>View Full Record in Web of Science</v>
      </c>
    </row>
    <row r="255" spans="1:72" x14ac:dyDescent="0.15">
      <c r="A255" t="s">
        <v>72</v>
      </c>
      <c r="B255" t="s">
        <v>4375</v>
      </c>
      <c r="C255" t="s">
        <v>74</v>
      </c>
      <c r="D255" t="s">
        <v>74</v>
      </c>
      <c r="E255" t="s">
        <v>74</v>
      </c>
      <c r="F255" t="s">
        <v>4376</v>
      </c>
      <c r="G255" t="s">
        <v>74</v>
      </c>
      <c r="H255" t="s">
        <v>74</v>
      </c>
      <c r="I255" t="s">
        <v>4377</v>
      </c>
      <c r="J255" t="s">
        <v>416</v>
      </c>
      <c r="K255" t="s">
        <v>74</v>
      </c>
      <c r="L255" t="s">
        <v>74</v>
      </c>
      <c r="M255" t="s">
        <v>78</v>
      </c>
      <c r="N255" t="s">
        <v>79</v>
      </c>
      <c r="O255" t="s">
        <v>74</v>
      </c>
      <c r="P255" t="s">
        <v>74</v>
      </c>
      <c r="Q255" t="s">
        <v>74</v>
      </c>
      <c r="R255" t="s">
        <v>74</v>
      </c>
      <c r="S255" t="s">
        <v>74</v>
      </c>
      <c r="T255" t="s">
        <v>74</v>
      </c>
      <c r="U255" t="s">
        <v>4378</v>
      </c>
      <c r="V255" t="s">
        <v>4379</v>
      </c>
      <c r="W255" t="s">
        <v>4380</v>
      </c>
      <c r="X255" t="s">
        <v>4381</v>
      </c>
      <c r="Y255" t="s">
        <v>4382</v>
      </c>
      <c r="Z255" t="s">
        <v>4383</v>
      </c>
      <c r="AA255" t="s">
        <v>74</v>
      </c>
      <c r="AB255" t="s">
        <v>74</v>
      </c>
      <c r="AC255" t="s">
        <v>74</v>
      </c>
      <c r="AD255" t="s">
        <v>74</v>
      </c>
      <c r="AE255" t="s">
        <v>74</v>
      </c>
      <c r="AF255" t="s">
        <v>74</v>
      </c>
      <c r="AG255">
        <v>46</v>
      </c>
      <c r="AH255">
        <v>89</v>
      </c>
      <c r="AI255">
        <v>99</v>
      </c>
      <c r="AJ255">
        <v>2</v>
      </c>
      <c r="AK255">
        <v>21</v>
      </c>
      <c r="AL255" t="s">
        <v>141</v>
      </c>
      <c r="AM255" t="s">
        <v>142</v>
      </c>
      <c r="AN255" t="s">
        <v>143</v>
      </c>
      <c r="AO255" t="s">
        <v>427</v>
      </c>
      <c r="AP255" t="s">
        <v>428</v>
      </c>
      <c r="AQ255" t="s">
        <v>74</v>
      </c>
      <c r="AR255" t="s">
        <v>429</v>
      </c>
      <c r="AS255" t="s">
        <v>430</v>
      </c>
      <c r="AT255" t="s">
        <v>4384</v>
      </c>
      <c r="AU255">
        <v>2007</v>
      </c>
      <c r="AV255">
        <v>112</v>
      </c>
      <c r="AW255" t="s">
        <v>4328</v>
      </c>
      <c r="AX255" t="s">
        <v>74</v>
      </c>
      <c r="AY255" t="s">
        <v>74</v>
      </c>
      <c r="AZ255" t="s">
        <v>74</v>
      </c>
      <c r="BA255" t="s">
        <v>74</v>
      </c>
      <c r="BB255" t="s">
        <v>74</v>
      </c>
      <c r="BC255" t="s">
        <v>74</v>
      </c>
      <c r="BD255" t="s">
        <v>4385</v>
      </c>
      <c r="BE255" t="s">
        <v>4386</v>
      </c>
      <c r="BF255" t="str">
        <f>HYPERLINK("http://dx.doi.org/10.1029/2006JD007852","http://dx.doi.org/10.1029/2006JD007852")</f>
        <v>http://dx.doi.org/10.1029/2006JD007852</v>
      </c>
      <c r="BG255" t="s">
        <v>74</v>
      </c>
      <c r="BH255" t="s">
        <v>74</v>
      </c>
      <c r="BI255">
        <v>9</v>
      </c>
      <c r="BJ255" t="s">
        <v>435</v>
      </c>
      <c r="BK255" t="s">
        <v>98</v>
      </c>
      <c r="BL255" t="s">
        <v>435</v>
      </c>
      <c r="BM255" t="s">
        <v>4387</v>
      </c>
      <c r="BN255" t="s">
        <v>74</v>
      </c>
      <c r="BO255" t="s">
        <v>154</v>
      </c>
      <c r="BP255" t="s">
        <v>74</v>
      </c>
      <c r="BQ255" t="s">
        <v>74</v>
      </c>
      <c r="BR255" t="s">
        <v>101</v>
      </c>
      <c r="BS255" t="s">
        <v>4388</v>
      </c>
      <c r="BT255" t="str">
        <f>HYPERLINK("https%3A%2F%2Fwww.webofscience.com%2Fwos%2Fwoscc%2Ffull-record%2FWOS:000247534200004","View Full Record in Web of Science")</f>
        <v>View Full Record in Web of Science</v>
      </c>
    </row>
    <row r="256" spans="1:72" x14ac:dyDescent="0.15">
      <c r="A256" t="s">
        <v>72</v>
      </c>
      <c r="B256" t="s">
        <v>4389</v>
      </c>
      <c r="C256" t="s">
        <v>74</v>
      </c>
      <c r="D256" t="s">
        <v>74</v>
      </c>
      <c r="E256" t="s">
        <v>74</v>
      </c>
      <c r="F256" t="s">
        <v>4390</v>
      </c>
      <c r="G256" t="s">
        <v>74</v>
      </c>
      <c r="H256" t="s">
        <v>74</v>
      </c>
      <c r="I256" t="s">
        <v>4391</v>
      </c>
      <c r="J256" t="s">
        <v>375</v>
      </c>
      <c r="K256" t="s">
        <v>74</v>
      </c>
      <c r="L256" t="s">
        <v>74</v>
      </c>
      <c r="M256" t="s">
        <v>78</v>
      </c>
      <c r="N256" t="s">
        <v>79</v>
      </c>
      <c r="O256" t="s">
        <v>74</v>
      </c>
      <c r="P256" t="s">
        <v>74</v>
      </c>
      <c r="Q256" t="s">
        <v>74</v>
      </c>
      <c r="R256" t="s">
        <v>74</v>
      </c>
      <c r="S256" t="s">
        <v>74</v>
      </c>
      <c r="T256" t="s">
        <v>4392</v>
      </c>
      <c r="U256" t="s">
        <v>4393</v>
      </c>
      <c r="V256" t="s">
        <v>4394</v>
      </c>
      <c r="W256" t="s">
        <v>4395</v>
      </c>
      <c r="X256" t="s">
        <v>4396</v>
      </c>
      <c r="Y256" t="s">
        <v>4397</v>
      </c>
      <c r="Z256" t="s">
        <v>4398</v>
      </c>
      <c r="AA256" t="s">
        <v>4399</v>
      </c>
      <c r="AB256" t="s">
        <v>4400</v>
      </c>
      <c r="AC256" t="s">
        <v>74</v>
      </c>
      <c r="AD256" t="s">
        <v>74</v>
      </c>
      <c r="AE256" t="s">
        <v>74</v>
      </c>
      <c r="AF256" t="s">
        <v>74</v>
      </c>
      <c r="AG256">
        <v>28</v>
      </c>
      <c r="AH256">
        <v>211</v>
      </c>
      <c r="AI256">
        <v>259</v>
      </c>
      <c r="AJ256">
        <v>7</v>
      </c>
      <c r="AK256">
        <v>118</v>
      </c>
      <c r="AL256" t="s">
        <v>4401</v>
      </c>
      <c r="AM256" t="s">
        <v>363</v>
      </c>
      <c r="AN256" t="s">
        <v>387</v>
      </c>
      <c r="AO256" t="s">
        <v>388</v>
      </c>
      <c r="AP256" t="s">
        <v>74</v>
      </c>
      <c r="AQ256" t="s">
        <v>74</v>
      </c>
      <c r="AR256" t="s">
        <v>4402</v>
      </c>
      <c r="AS256" t="s">
        <v>391</v>
      </c>
      <c r="AT256" t="s">
        <v>4403</v>
      </c>
      <c r="AU256">
        <v>2007</v>
      </c>
      <c r="AV256">
        <v>3</v>
      </c>
      <c r="AW256">
        <v>3</v>
      </c>
      <c r="AX256" t="s">
        <v>74</v>
      </c>
      <c r="AY256" t="s">
        <v>74</v>
      </c>
      <c r="AZ256" t="s">
        <v>74</v>
      </c>
      <c r="BA256" t="s">
        <v>74</v>
      </c>
      <c r="BB256">
        <v>302</v>
      </c>
      <c r="BC256">
        <v>305</v>
      </c>
      <c r="BD256" t="s">
        <v>74</v>
      </c>
      <c r="BE256" t="s">
        <v>4404</v>
      </c>
      <c r="BF256" t="str">
        <f>HYPERLINK("http://dx.doi.org/10.1098/rsbl.2007.0067","http://dx.doi.org/10.1098/rsbl.2007.0067")</f>
        <v>http://dx.doi.org/10.1098/rsbl.2007.0067</v>
      </c>
      <c r="BG256" t="s">
        <v>74</v>
      </c>
      <c r="BH256" t="s">
        <v>74</v>
      </c>
      <c r="BI256">
        <v>4</v>
      </c>
      <c r="BJ256" t="s">
        <v>394</v>
      </c>
      <c r="BK256" t="s">
        <v>98</v>
      </c>
      <c r="BL256" t="s">
        <v>395</v>
      </c>
      <c r="BM256" t="s">
        <v>4405</v>
      </c>
      <c r="BN256">
        <v>17412669</v>
      </c>
      <c r="BO256" t="s">
        <v>198</v>
      </c>
      <c r="BP256" t="s">
        <v>74</v>
      </c>
      <c r="BQ256" t="s">
        <v>74</v>
      </c>
      <c r="BR256" t="s">
        <v>101</v>
      </c>
      <c r="BS256" t="s">
        <v>4406</v>
      </c>
      <c r="BT256" t="str">
        <f>HYPERLINK("https%3A%2F%2Fwww.webofscience.com%2Fwos%2Fwoscc%2Ffull-record%2FWOS:000246905300023","View Full Record in Web of Science")</f>
        <v>View Full Record in Web of Science</v>
      </c>
    </row>
    <row r="257" spans="1:72" x14ac:dyDescent="0.15">
      <c r="A257" t="s">
        <v>72</v>
      </c>
      <c r="B257" t="s">
        <v>4407</v>
      </c>
      <c r="C257" t="s">
        <v>74</v>
      </c>
      <c r="D257" t="s">
        <v>74</v>
      </c>
      <c r="E257" t="s">
        <v>74</v>
      </c>
      <c r="F257" t="s">
        <v>4408</v>
      </c>
      <c r="G257" t="s">
        <v>74</v>
      </c>
      <c r="H257" t="s">
        <v>74</v>
      </c>
      <c r="I257" t="s">
        <v>4409</v>
      </c>
      <c r="J257" t="s">
        <v>130</v>
      </c>
      <c r="K257" t="s">
        <v>74</v>
      </c>
      <c r="L257" t="s">
        <v>74</v>
      </c>
      <c r="M257" t="s">
        <v>78</v>
      </c>
      <c r="N257" t="s">
        <v>79</v>
      </c>
      <c r="O257" t="s">
        <v>74</v>
      </c>
      <c r="P257" t="s">
        <v>74</v>
      </c>
      <c r="Q257" t="s">
        <v>74</v>
      </c>
      <c r="R257" t="s">
        <v>74</v>
      </c>
      <c r="S257" t="s">
        <v>74</v>
      </c>
      <c r="T257" t="s">
        <v>74</v>
      </c>
      <c r="U257" t="s">
        <v>4410</v>
      </c>
      <c r="V257" t="s">
        <v>4411</v>
      </c>
      <c r="W257" t="s">
        <v>4412</v>
      </c>
      <c r="X257" t="s">
        <v>4413</v>
      </c>
      <c r="Y257" t="s">
        <v>4414</v>
      </c>
      <c r="Z257" t="s">
        <v>4415</v>
      </c>
      <c r="AA257" t="s">
        <v>74</v>
      </c>
      <c r="AB257" t="s">
        <v>74</v>
      </c>
      <c r="AC257" t="s">
        <v>74</v>
      </c>
      <c r="AD257" t="s">
        <v>74</v>
      </c>
      <c r="AE257" t="s">
        <v>74</v>
      </c>
      <c r="AF257" t="s">
        <v>74</v>
      </c>
      <c r="AG257">
        <v>37</v>
      </c>
      <c r="AH257">
        <v>17</v>
      </c>
      <c r="AI257">
        <v>21</v>
      </c>
      <c r="AJ257">
        <v>0</v>
      </c>
      <c r="AK257">
        <v>5</v>
      </c>
      <c r="AL257" t="s">
        <v>141</v>
      </c>
      <c r="AM257" t="s">
        <v>142</v>
      </c>
      <c r="AN257" t="s">
        <v>143</v>
      </c>
      <c r="AO257" t="s">
        <v>144</v>
      </c>
      <c r="AP257" t="s">
        <v>74</v>
      </c>
      <c r="AQ257" t="s">
        <v>74</v>
      </c>
      <c r="AR257" t="s">
        <v>146</v>
      </c>
      <c r="AS257" t="s">
        <v>147</v>
      </c>
      <c r="AT257" t="s">
        <v>4403</v>
      </c>
      <c r="AU257">
        <v>2007</v>
      </c>
      <c r="AV257">
        <v>34</v>
      </c>
      <c r="AW257">
        <v>12</v>
      </c>
      <c r="AX257" t="s">
        <v>74</v>
      </c>
      <c r="AY257" t="s">
        <v>74</v>
      </c>
      <c r="AZ257" t="s">
        <v>74</v>
      </c>
      <c r="BA257" t="s">
        <v>74</v>
      </c>
      <c r="BB257" t="s">
        <v>74</v>
      </c>
      <c r="BC257" t="s">
        <v>74</v>
      </c>
      <c r="BD257" t="s">
        <v>4416</v>
      </c>
      <c r="BE257" t="s">
        <v>4417</v>
      </c>
      <c r="BF257" t="str">
        <f>HYPERLINK("http://dx.doi.org/10.1029/2007GL030159","http://dx.doi.org/10.1029/2007GL030159")</f>
        <v>http://dx.doi.org/10.1029/2007GL030159</v>
      </c>
      <c r="BG257" t="s">
        <v>74</v>
      </c>
      <c r="BH257" t="s">
        <v>74</v>
      </c>
      <c r="BI257">
        <v>5</v>
      </c>
      <c r="BJ257" t="s">
        <v>151</v>
      </c>
      <c r="BK257" t="s">
        <v>98</v>
      </c>
      <c r="BL257" t="s">
        <v>152</v>
      </c>
      <c r="BM257" t="s">
        <v>4418</v>
      </c>
      <c r="BN257" t="s">
        <v>74</v>
      </c>
      <c r="BO257" t="s">
        <v>577</v>
      </c>
      <c r="BP257" t="s">
        <v>74</v>
      </c>
      <c r="BQ257" t="s">
        <v>74</v>
      </c>
      <c r="BR257" t="s">
        <v>101</v>
      </c>
      <c r="BS257" t="s">
        <v>4419</v>
      </c>
      <c r="BT257" t="str">
        <f>HYPERLINK("https%3A%2F%2Fwww.webofscience.com%2Fwos%2Fwoscc%2Ffull-record%2FWOS:000247533300007","View Full Record in Web of Science")</f>
        <v>View Full Record in Web of Science</v>
      </c>
    </row>
    <row r="258" spans="1:72" x14ac:dyDescent="0.15">
      <c r="A258" t="s">
        <v>72</v>
      </c>
      <c r="B258" t="s">
        <v>4420</v>
      </c>
      <c r="C258" t="s">
        <v>74</v>
      </c>
      <c r="D258" t="s">
        <v>74</v>
      </c>
      <c r="E258" t="s">
        <v>74</v>
      </c>
      <c r="F258" t="s">
        <v>4421</v>
      </c>
      <c r="G258" t="s">
        <v>74</v>
      </c>
      <c r="H258" t="s">
        <v>74</v>
      </c>
      <c r="I258" t="s">
        <v>4422</v>
      </c>
      <c r="J258" t="s">
        <v>309</v>
      </c>
      <c r="K258" t="s">
        <v>74</v>
      </c>
      <c r="L258" t="s">
        <v>74</v>
      </c>
      <c r="M258" t="s">
        <v>78</v>
      </c>
      <c r="N258" t="s">
        <v>79</v>
      </c>
      <c r="O258" t="s">
        <v>74</v>
      </c>
      <c r="P258" t="s">
        <v>74</v>
      </c>
      <c r="Q258" t="s">
        <v>74</v>
      </c>
      <c r="R258" t="s">
        <v>74</v>
      </c>
      <c r="S258" t="s">
        <v>74</v>
      </c>
      <c r="T258" t="s">
        <v>74</v>
      </c>
      <c r="U258" t="s">
        <v>4423</v>
      </c>
      <c r="V258" t="s">
        <v>4424</v>
      </c>
      <c r="W258" t="s">
        <v>4425</v>
      </c>
      <c r="X258" t="s">
        <v>4426</v>
      </c>
      <c r="Y258" t="s">
        <v>4427</v>
      </c>
      <c r="Z258" t="s">
        <v>4428</v>
      </c>
      <c r="AA258" t="s">
        <v>4429</v>
      </c>
      <c r="AB258" t="s">
        <v>4430</v>
      </c>
      <c r="AC258" t="s">
        <v>4431</v>
      </c>
      <c r="AD258" t="s">
        <v>361</v>
      </c>
      <c r="AE258" t="s">
        <v>74</v>
      </c>
      <c r="AF258" t="s">
        <v>74</v>
      </c>
      <c r="AG258">
        <v>16</v>
      </c>
      <c r="AH258">
        <v>637</v>
      </c>
      <c r="AI258">
        <v>689</v>
      </c>
      <c r="AJ258">
        <v>2</v>
      </c>
      <c r="AK258">
        <v>198</v>
      </c>
      <c r="AL258" t="s">
        <v>318</v>
      </c>
      <c r="AM258" t="s">
        <v>142</v>
      </c>
      <c r="AN258" t="s">
        <v>319</v>
      </c>
      <c r="AO258" t="s">
        <v>320</v>
      </c>
      <c r="AP258" t="s">
        <v>74</v>
      </c>
      <c r="AQ258" t="s">
        <v>74</v>
      </c>
      <c r="AR258" t="s">
        <v>309</v>
      </c>
      <c r="AS258" t="s">
        <v>321</v>
      </c>
      <c r="AT258" t="s">
        <v>4403</v>
      </c>
      <c r="AU258">
        <v>2007</v>
      </c>
      <c r="AV258">
        <v>316</v>
      </c>
      <c r="AW258">
        <v>5832</v>
      </c>
      <c r="AX258" t="s">
        <v>74</v>
      </c>
      <c r="AY258" t="s">
        <v>74</v>
      </c>
      <c r="AZ258" t="s">
        <v>74</v>
      </c>
      <c r="BA258" t="s">
        <v>74</v>
      </c>
      <c r="BB258">
        <v>1735</v>
      </c>
      <c r="BC258">
        <v>1738</v>
      </c>
      <c r="BD258" t="s">
        <v>74</v>
      </c>
      <c r="BE258" t="s">
        <v>4432</v>
      </c>
      <c r="BF258" t="str">
        <f>HYPERLINK("http://dx.doi.org/10.1126/science.1136188","http://dx.doi.org/10.1126/science.1136188")</f>
        <v>http://dx.doi.org/10.1126/science.1136188</v>
      </c>
      <c r="BG258" t="s">
        <v>74</v>
      </c>
      <c r="BH258" t="s">
        <v>74</v>
      </c>
      <c r="BI258">
        <v>4</v>
      </c>
      <c r="BJ258" t="s">
        <v>241</v>
      </c>
      <c r="BK258" t="s">
        <v>98</v>
      </c>
      <c r="BL258" t="s">
        <v>242</v>
      </c>
      <c r="BM258" t="s">
        <v>4433</v>
      </c>
      <c r="BN258">
        <v>17510327</v>
      </c>
      <c r="BO258" t="s">
        <v>154</v>
      </c>
      <c r="BP258" t="s">
        <v>74</v>
      </c>
      <c r="BQ258" t="s">
        <v>74</v>
      </c>
      <c r="BR258" t="s">
        <v>101</v>
      </c>
      <c r="BS258" t="s">
        <v>4434</v>
      </c>
      <c r="BT258" t="str">
        <f>HYPERLINK("https%3A%2F%2Fwww.webofscience.com%2Fwos%2Fwoscc%2Ffull-record%2FWOS:000247400500044","View Full Record in Web of Science")</f>
        <v>View Full Record in Web of Science</v>
      </c>
    </row>
    <row r="259" spans="1:72" x14ac:dyDescent="0.15">
      <c r="A259" t="s">
        <v>72</v>
      </c>
      <c r="B259" t="s">
        <v>4435</v>
      </c>
      <c r="C259" t="s">
        <v>74</v>
      </c>
      <c r="D259" t="s">
        <v>74</v>
      </c>
      <c r="E259" t="s">
        <v>74</v>
      </c>
      <c r="F259" t="s">
        <v>4436</v>
      </c>
      <c r="G259" t="s">
        <v>74</v>
      </c>
      <c r="H259" t="s">
        <v>74</v>
      </c>
      <c r="I259" t="s">
        <v>4437</v>
      </c>
      <c r="J259" t="s">
        <v>182</v>
      </c>
      <c r="K259" t="s">
        <v>74</v>
      </c>
      <c r="L259" t="s">
        <v>74</v>
      </c>
      <c r="M259" t="s">
        <v>78</v>
      </c>
      <c r="N259" t="s">
        <v>79</v>
      </c>
      <c r="O259" t="s">
        <v>74</v>
      </c>
      <c r="P259" t="s">
        <v>74</v>
      </c>
      <c r="Q259" t="s">
        <v>74</v>
      </c>
      <c r="R259" t="s">
        <v>74</v>
      </c>
      <c r="S259" t="s">
        <v>74</v>
      </c>
      <c r="T259" t="s">
        <v>74</v>
      </c>
      <c r="U259" t="s">
        <v>4438</v>
      </c>
      <c r="V259" t="s">
        <v>4439</v>
      </c>
      <c r="W259" t="s">
        <v>4440</v>
      </c>
      <c r="X259" t="s">
        <v>4441</v>
      </c>
      <c r="Y259" t="s">
        <v>4442</v>
      </c>
      <c r="Z259" t="s">
        <v>4443</v>
      </c>
      <c r="AA259" t="s">
        <v>4444</v>
      </c>
      <c r="AB259" t="s">
        <v>4445</v>
      </c>
      <c r="AC259" t="s">
        <v>74</v>
      </c>
      <c r="AD259" t="s">
        <v>74</v>
      </c>
      <c r="AE259" t="s">
        <v>74</v>
      </c>
      <c r="AF259" t="s">
        <v>74</v>
      </c>
      <c r="AG259">
        <v>56</v>
      </c>
      <c r="AH259">
        <v>71</v>
      </c>
      <c r="AI259">
        <v>77</v>
      </c>
      <c r="AJ259">
        <v>1</v>
      </c>
      <c r="AK259">
        <v>28</v>
      </c>
      <c r="AL259" t="s">
        <v>141</v>
      </c>
      <c r="AM259" t="s">
        <v>142</v>
      </c>
      <c r="AN259" t="s">
        <v>143</v>
      </c>
      <c r="AO259" t="s">
        <v>189</v>
      </c>
      <c r="AP259" t="s">
        <v>549</v>
      </c>
      <c r="AQ259" t="s">
        <v>74</v>
      </c>
      <c r="AR259" t="s">
        <v>190</v>
      </c>
      <c r="AS259" t="s">
        <v>191</v>
      </c>
      <c r="AT259" t="s">
        <v>4446</v>
      </c>
      <c r="AU259">
        <v>2007</v>
      </c>
      <c r="AV259">
        <v>21</v>
      </c>
      <c r="AW259">
        <v>2</v>
      </c>
      <c r="AX259" t="s">
        <v>74</v>
      </c>
      <c r="AY259" t="s">
        <v>74</v>
      </c>
      <c r="AZ259" t="s">
        <v>74</v>
      </c>
      <c r="BA259" t="s">
        <v>74</v>
      </c>
      <c r="BB259" t="s">
        <v>74</v>
      </c>
      <c r="BC259" t="s">
        <v>74</v>
      </c>
      <c r="BD259" t="s">
        <v>4447</v>
      </c>
      <c r="BE259" t="s">
        <v>4448</v>
      </c>
      <c r="BF259" t="str">
        <f>HYPERLINK("http://dx.doi.org/10.1029/2006GB002897","http://dx.doi.org/10.1029/2006GB002897")</f>
        <v>http://dx.doi.org/10.1029/2006GB002897</v>
      </c>
      <c r="BG259" t="s">
        <v>74</v>
      </c>
      <c r="BH259" t="s">
        <v>74</v>
      </c>
      <c r="BI259">
        <v>11</v>
      </c>
      <c r="BJ259" t="s">
        <v>195</v>
      </c>
      <c r="BK259" t="s">
        <v>98</v>
      </c>
      <c r="BL259" t="s">
        <v>196</v>
      </c>
      <c r="BM259" t="s">
        <v>4449</v>
      </c>
      <c r="BN259" t="s">
        <v>74</v>
      </c>
      <c r="BO259" t="s">
        <v>154</v>
      </c>
      <c r="BP259" t="s">
        <v>74</v>
      </c>
      <c r="BQ259" t="s">
        <v>74</v>
      </c>
      <c r="BR259" t="s">
        <v>101</v>
      </c>
      <c r="BS259" t="s">
        <v>4450</v>
      </c>
      <c r="BT259" t="str">
        <f>HYPERLINK("https%3A%2F%2Fwww.webofscience.com%2Fwos%2Fwoscc%2Ffull-record%2FWOS:000247533700001","View Full Record in Web of Science")</f>
        <v>View Full Record in Web of Science</v>
      </c>
    </row>
    <row r="260" spans="1:72" x14ac:dyDescent="0.15">
      <c r="A260" t="s">
        <v>72</v>
      </c>
      <c r="B260" t="s">
        <v>4451</v>
      </c>
      <c r="C260" t="s">
        <v>74</v>
      </c>
      <c r="D260" t="s">
        <v>74</v>
      </c>
      <c r="E260" t="s">
        <v>74</v>
      </c>
      <c r="F260" t="s">
        <v>4452</v>
      </c>
      <c r="G260" t="s">
        <v>74</v>
      </c>
      <c r="H260" t="s">
        <v>74</v>
      </c>
      <c r="I260" t="s">
        <v>4453</v>
      </c>
      <c r="J260" t="s">
        <v>2957</v>
      </c>
      <c r="K260" t="s">
        <v>74</v>
      </c>
      <c r="L260" t="s">
        <v>74</v>
      </c>
      <c r="M260" t="s">
        <v>78</v>
      </c>
      <c r="N260" t="s">
        <v>79</v>
      </c>
      <c r="O260" t="s">
        <v>74</v>
      </c>
      <c r="P260" t="s">
        <v>74</v>
      </c>
      <c r="Q260" t="s">
        <v>74</v>
      </c>
      <c r="R260" t="s">
        <v>74</v>
      </c>
      <c r="S260" t="s">
        <v>74</v>
      </c>
      <c r="T260" t="s">
        <v>74</v>
      </c>
      <c r="U260" t="s">
        <v>4454</v>
      </c>
      <c r="V260" t="s">
        <v>4455</v>
      </c>
      <c r="W260" t="s">
        <v>4456</v>
      </c>
      <c r="X260" t="s">
        <v>4457</v>
      </c>
      <c r="Y260" t="s">
        <v>4458</v>
      </c>
      <c r="Z260" t="s">
        <v>4459</v>
      </c>
      <c r="AA260" t="s">
        <v>4460</v>
      </c>
      <c r="AB260" t="s">
        <v>4461</v>
      </c>
      <c r="AC260" t="s">
        <v>74</v>
      </c>
      <c r="AD260" t="s">
        <v>74</v>
      </c>
      <c r="AE260" t="s">
        <v>74</v>
      </c>
      <c r="AF260" t="s">
        <v>74</v>
      </c>
      <c r="AG260">
        <v>32</v>
      </c>
      <c r="AH260">
        <v>29</v>
      </c>
      <c r="AI260">
        <v>30</v>
      </c>
      <c r="AJ260">
        <v>1</v>
      </c>
      <c r="AK260">
        <v>15</v>
      </c>
      <c r="AL260" t="s">
        <v>141</v>
      </c>
      <c r="AM260" t="s">
        <v>142</v>
      </c>
      <c r="AN260" t="s">
        <v>143</v>
      </c>
      <c r="AO260" t="s">
        <v>2966</v>
      </c>
      <c r="AP260" t="s">
        <v>2967</v>
      </c>
      <c r="AQ260" t="s">
        <v>74</v>
      </c>
      <c r="AR260" t="s">
        <v>2968</v>
      </c>
      <c r="AS260" t="s">
        <v>2969</v>
      </c>
      <c r="AT260" t="s">
        <v>4446</v>
      </c>
      <c r="AU260">
        <v>2007</v>
      </c>
      <c r="AV260">
        <v>112</v>
      </c>
      <c r="AW260" t="s">
        <v>4462</v>
      </c>
      <c r="AX260" t="s">
        <v>74</v>
      </c>
      <c r="AY260" t="s">
        <v>74</v>
      </c>
      <c r="AZ260" t="s">
        <v>74</v>
      </c>
      <c r="BA260" t="s">
        <v>74</v>
      </c>
      <c r="BB260" t="s">
        <v>74</v>
      </c>
      <c r="BC260" t="s">
        <v>74</v>
      </c>
      <c r="BD260" t="s">
        <v>4463</v>
      </c>
      <c r="BE260" t="s">
        <v>4464</v>
      </c>
      <c r="BF260" t="str">
        <f>HYPERLINK("http://dx.doi.org/10.1029/2006JF000544","http://dx.doi.org/10.1029/2006JF000544")</f>
        <v>http://dx.doi.org/10.1029/2006JF000544</v>
      </c>
      <c r="BG260" t="s">
        <v>74</v>
      </c>
      <c r="BH260" t="s">
        <v>74</v>
      </c>
      <c r="BI260">
        <v>15</v>
      </c>
      <c r="BJ260" t="s">
        <v>151</v>
      </c>
      <c r="BK260" t="s">
        <v>98</v>
      </c>
      <c r="BL260" t="s">
        <v>152</v>
      </c>
      <c r="BM260" t="s">
        <v>4465</v>
      </c>
      <c r="BN260" t="s">
        <v>74</v>
      </c>
      <c r="BO260" t="s">
        <v>198</v>
      </c>
      <c r="BP260" t="s">
        <v>74</v>
      </c>
      <c r="BQ260" t="s">
        <v>74</v>
      </c>
      <c r="BR260" t="s">
        <v>101</v>
      </c>
      <c r="BS260" t="s">
        <v>4466</v>
      </c>
      <c r="BT260" t="str">
        <f>HYPERLINK("https%3A%2F%2Fwww.webofscience.com%2Fwos%2Fwoscc%2Ffull-record%2FWOS:000247534700003","View Full Record in Web of Science")</f>
        <v>View Full Record in Web of Science</v>
      </c>
    </row>
    <row r="261" spans="1:72" x14ac:dyDescent="0.15">
      <c r="A261" t="s">
        <v>72</v>
      </c>
      <c r="B261" t="s">
        <v>4467</v>
      </c>
      <c r="C261" t="s">
        <v>74</v>
      </c>
      <c r="D261" t="s">
        <v>74</v>
      </c>
      <c r="E261" t="s">
        <v>74</v>
      </c>
      <c r="F261" t="s">
        <v>4468</v>
      </c>
      <c r="G261" t="s">
        <v>74</v>
      </c>
      <c r="H261" t="s">
        <v>74</v>
      </c>
      <c r="I261" t="s">
        <v>4469</v>
      </c>
      <c r="J261" t="s">
        <v>130</v>
      </c>
      <c r="K261" t="s">
        <v>74</v>
      </c>
      <c r="L261" t="s">
        <v>74</v>
      </c>
      <c r="M261" t="s">
        <v>78</v>
      </c>
      <c r="N261" t="s">
        <v>79</v>
      </c>
      <c r="O261" t="s">
        <v>74</v>
      </c>
      <c r="P261" t="s">
        <v>74</v>
      </c>
      <c r="Q261" t="s">
        <v>74</v>
      </c>
      <c r="R261" t="s">
        <v>74</v>
      </c>
      <c r="S261" t="s">
        <v>74</v>
      </c>
      <c r="T261" t="s">
        <v>74</v>
      </c>
      <c r="U261" t="s">
        <v>4470</v>
      </c>
      <c r="V261" t="s">
        <v>4471</v>
      </c>
      <c r="W261" t="s">
        <v>4472</v>
      </c>
      <c r="X261" t="s">
        <v>4473</v>
      </c>
      <c r="Y261" t="s">
        <v>4474</v>
      </c>
      <c r="Z261" t="s">
        <v>4475</v>
      </c>
      <c r="AA261" t="s">
        <v>4476</v>
      </c>
      <c r="AB261" t="s">
        <v>4477</v>
      </c>
      <c r="AC261" t="s">
        <v>74</v>
      </c>
      <c r="AD261" t="s">
        <v>74</v>
      </c>
      <c r="AE261" t="s">
        <v>74</v>
      </c>
      <c r="AF261" t="s">
        <v>74</v>
      </c>
      <c r="AG261">
        <v>32</v>
      </c>
      <c r="AH261">
        <v>153</v>
      </c>
      <c r="AI261">
        <v>161</v>
      </c>
      <c r="AJ261">
        <v>0</v>
      </c>
      <c r="AK261">
        <v>22</v>
      </c>
      <c r="AL261" t="s">
        <v>141</v>
      </c>
      <c r="AM261" t="s">
        <v>142</v>
      </c>
      <c r="AN261" t="s">
        <v>143</v>
      </c>
      <c r="AO261" t="s">
        <v>144</v>
      </c>
      <c r="AP261" t="s">
        <v>74</v>
      </c>
      <c r="AQ261" t="s">
        <v>74</v>
      </c>
      <c r="AR261" t="s">
        <v>146</v>
      </c>
      <c r="AS261" t="s">
        <v>147</v>
      </c>
      <c r="AT261" t="s">
        <v>4478</v>
      </c>
      <c r="AU261">
        <v>2007</v>
      </c>
      <c r="AV261">
        <v>34</v>
      </c>
      <c r="AW261">
        <v>12</v>
      </c>
      <c r="AX261" t="s">
        <v>74</v>
      </c>
      <c r="AY261" t="s">
        <v>74</v>
      </c>
      <c r="AZ261" t="s">
        <v>74</v>
      </c>
      <c r="BA261" t="s">
        <v>74</v>
      </c>
      <c r="BB261" t="s">
        <v>74</v>
      </c>
      <c r="BC261" t="s">
        <v>74</v>
      </c>
      <c r="BD261" t="s">
        <v>4479</v>
      </c>
      <c r="BE261" t="s">
        <v>4480</v>
      </c>
      <c r="BF261" t="str">
        <f>HYPERLINK("http://dx.doi.org/10.1029/2007GL029475","http://dx.doi.org/10.1029/2007GL029475")</f>
        <v>http://dx.doi.org/10.1029/2007GL029475</v>
      </c>
      <c r="BG261" t="s">
        <v>74</v>
      </c>
      <c r="BH261" t="s">
        <v>74</v>
      </c>
      <c r="BI261">
        <v>6</v>
      </c>
      <c r="BJ261" t="s">
        <v>151</v>
      </c>
      <c r="BK261" t="s">
        <v>98</v>
      </c>
      <c r="BL261" t="s">
        <v>152</v>
      </c>
      <c r="BM261" t="s">
        <v>4481</v>
      </c>
      <c r="BN261" t="s">
        <v>74</v>
      </c>
      <c r="BO261" t="s">
        <v>154</v>
      </c>
      <c r="BP261" t="s">
        <v>74</v>
      </c>
      <c r="BQ261" t="s">
        <v>74</v>
      </c>
      <c r="BR261" t="s">
        <v>101</v>
      </c>
      <c r="BS261" t="s">
        <v>4482</v>
      </c>
      <c r="BT261" t="str">
        <f>HYPERLINK("https%3A%2F%2Fwww.webofscience.com%2Fwos%2Fwoscc%2Ffull-record%2FWOS:000247533000001","View Full Record in Web of Science")</f>
        <v>View Full Record in Web of Science</v>
      </c>
    </row>
    <row r="262" spans="1:72" x14ac:dyDescent="0.15">
      <c r="A262" t="s">
        <v>72</v>
      </c>
      <c r="B262" t="s">
        <v>4483</v>
      </c>
      <c r="C262" t="s">
        <v>74</v>
      </c>
      <c r="D262" t="s">
        <v>74</v>
      </c>
      <c r="E262" t="s">
        <v>74</v>
      </c>
      <c r="F262" t="s">
        <v>4484</v>
      </c>
      <c r="G262" t="s">
        <v>74</v>
      </c>
      <c r="H262" t="s">
        <v>74</v>
      </c>
      <c r="I262" t="s">
        <v>4485</v>
      </c>
      <c r="J262" t="s">
        <v>130</v>
      </c>
      <c r="K262" t="s">
        <v>74</v>
      </c>
      <c r="L262" t="s">
        <v>74</v>
      </c>
      <c r="M262" t="s">
        <v>78</v>
      </c>
      <c r="N262" t="s">
        <v>79</v>
      </c>
      <c r="O262" t="s">
        <v>74</v>
      </c>
      <c r="P262" t="s">
        <v>74</v>
      </c>
      <c r="Q262" t="s">
        <v>74</v>
      </c>
      <c r="R262" t="s">
        <v>74</v>
      </c>
      <c r="S262" t="s">
        <v>74</v>
      </c>
      <c r="T262" t="s">
        <v>74</v>
      </c>
      <c r="U262" t="s">
        <v>4486</v>
      </c>
      <c r="V262" t="s">
        <v>4487</v>
      </c>
      <c r="W262" t="s">
        <v>4488</v>
      </c>
      <c r="X262" t="s">
        <v>4489</v>
      </c>
      <c r="Y262" t="s">
        <v>4490</v>
      </c>
      <c r="Z262" t="s">
        <v>4491</v>
      </c>
      <c r="AA262" t="s">
        <v>4492</v>
      </c>
      <c r="AB262" t="s">
        <v>74</v>
      </c>
      <c r="AC262" t="s">
        <v>74</v>
      </c>
      <c r="AD262" t="s">
        <v>74</v>
      </c>
      <c r="AE262" t="s">
        <v>74</v>
      </c>
      <c r="AF262" t="s">
        <v>74</v>
      </c>
      <c r="AG262">
        <v>25</v>
      </c>
      <c r="AH262">
        <v>40</v>
      </c>
      <c r="AI262">
        <v>42</v>
      </c>
      <c r="AJ262">
        <v>1</v>
      </c>
      <c r="AK262">
        <v>12</v>
      </c>
      <c r="AL262" t="s">
        <v>141</v>
      </c>
      <c r="AM262" t="s">
        <v>142</v>
      </c>
      <c r="AN262" t="s">
        <v>143</v>
      </c>
      <c r="AO262" t="s">
        <v>144</v>
      </c>
      <c r="AP262" t="s">
        <v>74</v>
      </c>
      <c r="AQ262" t="s">
        <v>74</v>
      </c>
      <c r="AR262" t="s">
        <v>146</v>
      </c>
      <c r="AS262" t="s">
        <v>147</v>
      </c>
      <c r="AT262" t="s">
        <v>4493</v>
      </c>
      <c r="AU262">
        <v>2007</v>
      </c>
      <c r="AV262">
        <v>34</v>
      </c>
      <c r="AW262">
        <v>12</v>
      </c>
      <c r="AX262" t="s">
        <v>74</v>
      </c>
      <c r="AY262" t="s">
        <v>74</v>
      </c>
      <c r="AZ262" t="s">
        <v>74</v>
      </c>
      <c r="BA262" t="s">
        <v>74</v>
      </c>
      <c r="BB262" t="s">
        <v>74</v>
      </c>
      <c r="BC262" t="s">
        <v>74</v>
      </c>
      <c r="BD262" t="s">
        <v>4494</v>
      </c>
      <c r="BE262" t="s">
        <v>4495</v>
      </c>
      <c r="BF262" t="str">
        <f>HYPERLINK("http://dx.doi.org/10.1029/2006GL029108","http://dx.doi.org/10.1029/2006GL029108")</f>
        <v>http://dx.doi.org/10.1029/2006GL029108</v>
      </c>
      <c r="BG262" t="s">
        <v>74</v>
      </c>
      <c r="BH262" t="s">
        <v>74</v>
      </c>
      <c r="BI262">
        <v>5</v>
      </c>
      <c r="BJ262" t="s">
        <v>151</v>
      </c>
      <c r="BK262" t="s">
        <v>98</v>
      </c>
      <c r="BL262" t="s">
        <v>152</v>
      </c>
      <c r="BM262" t="s">
        <v>4496</v>
      </c>
      <c r="BN262" t="s">
        <v>74</v>
      </c>
      <c r="BO262" t="s">
        <v>797</v>
      </c>
      <c r="BP262" t="s">
        <v>74</v>
      </c>
      <c r="BQ262" t="s">
        <v>74</v>
      </c>
      <c r="BR262" t="s">
        <v>101</v>
      </c>
      <c r="BS262" t="s">
        <v>4497</v>
      </c>
      <c r="BT262" t="str">
        <f>HYPERLINK("https%3A%2F%2Fwww.webofscience.com%2Fwos%2Fwoscc%2Ffull-record%2FWOS:000247532900001","View Full Record in Web of Science")</f>
        <v>View Full Record in Web of Science</v>
      </c>
    </row>
    <row r="263" spans="1:72" x14ac:dyDescent="0.15">
      <c r="A263" t="s">
        <v>72</v>
      </c>
      <c r="B263" t="s">
        <v>4498</v>
      </c>
      <c r="C263" t="s">
        <v>74</v>
      </c>
      <c r="D263" t="s">
        <v>74</v>
      </c>
      <c r="E263" t="s">
        <v>74</v>
      </c>
      <c r="F263" t="s">
        <v>4499</v>
      </c>
      <c r="G263" t="s">
        <v>74</v>
      </c>
      <c r="H263" t="s">
        <v>74</v>
      </c>
      <c r="I263" t="s">
        <v>4500</v>
      </c>
      <c r="J263" t="s">
        <v>416</v>
      </c>
      <c r="K263" t="s">
        <v>74</v>
      </c>
      <c r="L263" t="s">
        <v>74</v>
      </c>
      <c r="M263" t="s">
        <v>78</v>
      </c>
      <c r="N263" t="s">
        <v>79</v>
      </c>
      <c r="O263" t="s">
        <v>74</v>
      </c>
      <c r="P263" t="s">
        <v>74</v>
      </c>
      <c r="Q263" t="s">
        <v>74</v>
      </c>
      <c r="R263" t="s">
        <v>74</v>
      </c>
      <c r="S263" t="s">
        <v>74</v>
      </c>
      <c r="T263" t="s">
        <v>74</v>
      </c>
      <c r="U263" t="s">
        <v>4501</v>
      </c>
      <c r="V263" t="s">
        <v>4502</v>
      </c>
      <c r="W263" t="s">
        <v>4503</v>
      </c>
      <c r="X263" t="s">
        <v>4504</v>
      </c>
      <c r="Y263" t="s">
        <v>4505</v>
      </c>
      <c r="Z263" t="s">
        <v>4506</v>
      </c>
      <c r="AA263" t="s">
        <v>4507</v>
      </c>
      <c r="AB263" t="s">
        <v>4508</v>
      </c>
      <c r="AC263" t="s">
        <v>74</v>
      </c>
      <c r="AD263" t="s">
        <v>74</v>
      </c>
      <c r="AE263" t="s">
        <v>74</v>
      </c>
      <c r="AF263" t="s">
        <v>74</v>
      </c>
      <c r="AG263">
        <v>89</v>
      </c>
      <c r="AH263">
        <v>36</v>
      </c>
      <c r="AI263">
        <v>38</v>
      </c>
      <c r="AJ263">
        <v>1</v>
      </c>
      <c r="AK263">
        <v>11</v>
      </c>
      <c r="AL263" t="s">
        <v>141</v>
      </c>
      <c r="AM263" t="s">
        <v>142</v>
      </c>
      <c r="AN263" t="s">
        <v>143</v>
      </c>
      <c r="AO263" t="s">
        <v>427</v>
      </c>
      <c r="AP263" t="s">
        <v>428</v>
      </c>
      <c r="AQ263" t="s">
        <v>74</v>
      </c>
      <c r="AR263" t="s">
        <v>429</v>
      </c>
      <c r="AS263" t="s">
        <v>430</v>
      </c>
      <c r="AT263" t="s">
        <v>4493</v>
      </c>
      <c r="AU263">
        <v>2007</v>
      </c>
      <c r="AV263">
        <v>112</v>
      </c>
      <c r="AW263" t="s">
        <v>4328</v>
      </c>
      <c r="AX263" t="s">
        <v>74</v>
      </c>
      <c r="AY263" t="s">
        <v>74</v>
      </c>
      <c r="AZ263" t="s">
        <v>74</v>
      </c>
      <c r="BA263" t="s">
        <v>74</v>
      </c>
      <c r="BB263" t="s">
        <v>74</v>
      </c>
      <c r="BC263" t="s">
        <v>74</v>
      </c>
      <c r="BD263" t="s">
        <v>4509</v>
      </c>
      <c r="BE263" t="s">
        <v>4510</v>
      </c>
      <c r="BF263" t="str">
        <f>HYPERLINK("http://dx.doi.org/10.1029/2006JD007691","http://dx.doi.org/10.1029/2006JD007691")</f>
        <v>http://dx.doi.org/10.1029/2006JD007691</v>
      </c>
      <c r="BG263" t="s">
        <v>74</v>
      </c>
      <c r="BH263" t="s">
        <v>74</v>
      </c>
      <c r="BI263">
        <v>13</v>
      </c>
      <c r="BJ263" t="s">
        <v>435</v>
      </c>
      <c r="BK263" t="s">
        <v>98</v>
      </c>
      <c r="BL263" t="s">
        <v>435</v>
      </c>
      <c r="BM263" t="s">
        <v>4511</v>
      </c>
      <c r="BN263" t="s">
        <v>74</v>
      </c>
      <c r="BO263" t="s">
        <v>304</v>
      </c>
      <c r="BP263" t="s">
        <v>74</v>
      </c>
      <c r="BQ263" t="s">
        <v>74</v>
      </c>
      <c r="BR263" t="s">
        <v>101</v>
      </c>
      <c r="BS263" t="s">
        <v>4512</v>
      </c>
      <c r="BT263" t="str">
        <f>HYPERLINK("https%3A%2F%2Fwww.webofscience.com%2Fwos%2Fwoscc%2Ffull-record%2FWOS:000247533900001","View Full Record in Web of Science")</f>
        <v>View Full Record in Web of Science</v>
      </c>
    </row>
    <row r="264" spans="1:72" x14ac:dyDescent="0.15">
      <c r="A264" t="s">
        <v>72</v>
      </c>
      <c r="B264" t="s">
        <v>4513</v>
      </c>
      <c r="C264" t="s">
        <v>74</v>
      </c>
      <c r="D264" t="s">
        <v>74</v>
      </c>
      <c r="E264" t="s">
        <v>74</v>
      </c>
      <c r="F264" t="s">
        <v>4514</v>
      </c>
      <c r="G264" t="s">
        <v>74</v>
      </c>
      <c r="H264" t="s">
        <v>74</v>
      </c>
      <c r="I264" t="s">
        <v>4515</v>
      </c>
      <c r="J264" t="s">
        <v>897</v>
      </c>
      <c r="K264" t="s">
        <v>74</v>
      </c>
      <c r="L264" t="s">
        <v>74</v>
      </c>
      <c r="M264" t="s">
        <v>78</v>
      </c>
      <c r="N264" t="s">
        <v>79</v>
      </c>
      <c r="O264" t="s">
        <v>74</v>
      </c>
      <c r="P264" t="s">
        <v>74</v>
      </c>
      <c r="Q264" t="s">
        <v>74</v>
      </c>
      <c r="R264" t="s">
        <v>74</v>
      </c>
      <c r="S264" t="s">
        <v>74</v>
      </c>
      <c r="T264" t="s">
        <v>4516</v>
      </c>
      <c r="U264" t="s">
        <v>4517</v>
      </c>
      <c r="V264" t="s">
        <v>4518</v>
      </c>
      <c r="W264" t="s">
        <v>4519</v>
      </c>
      <c r="X264" t="s">
        <v>4520</v>
      </c>
      <c r="Y264" t="s">
        <v>4521</v>
      </c>
      <c r="Z264" t="s">
        <v>4522</v>
      </c>
      <c r="AA264" t="s">
        <v>74</v>
      </c>
      <c r="AB264" t="s">
        <v>74</v>
      </c>
      <c r="AC264" t="s">
        <v>74</v>
      </c>
      <c r="AD264" t="s">
        <v>74</v>
      </c>
      <c r="AE264" t="s">
        <v>74</v>
      </c>
      <c r="AF264" t="s">
        <v>74</v>
      </c>
      <c r="AG264">
        <v>62</v>
      </c>
      <c r="AH264">
        <v>13</v>
      </c>
      <c r="AI264">
        <v>18</v>
      </c>
      <c r="AJ264">
        <v>0</v>
      </c>
      <c r="AK264">
        <v>34</v>
      </c>
      <c r="AL264" t="s">
        <v>272</v>
      </c>
      <c r="AM264" t="s">
        <v>273</v>
      </c>
      <c r="AN264" t="s">
        <v>274</v>
      </c>
      <c r="AO264" t="s">
        <v>905</v>
      </c>
      <c r="AP264" t="s">
        <v>906</v>
      </c>
      <c r="AQ264" t="s">
        <v>74</v>
      </c>
      <c r="AR264" t="s">
        <v>907</v>
      </c>
      <c r="AS264" t="s">
        <v>908</v>
      </c>
      <c r="AT264" t="s">
        <v>4523</v>
      </c>
      <c r="AU264">
        <v>2007</v>
      </c>
      <c r="AV264">
        <v>204</v>
      </c>
      <c r="AW264" t="s">
        <v>686</v>
      </c>
      <c r="AX264" t="s">
        <v>74</v>
      </c>
      <c r="AY264" t="s">
        <v>74</v>
      </c>
      <c r="AZ264" t="s">
        <v>74</v>
      </c>
      <c r="BA264" t="s">
        <v>74</v>
      </c>
      <c r="BB264">
        <v>335</v>
      </c>
      <c r="BC264">
        <v>348</v>
      </c>
      <c r="BD264" t="s">
        <v>74</v>
      </c>
      <c r="BE264" t="s">
        <v>4524</v>
      </c>
      <c r="BF264" t="str">
        <f>HYPERLINK("http://dx.doi.org/10.1016/j.ecolmodel.2007.01.010","http://dx.doi.org/10.1016/j.ecolmodel.2007.01.010")</f>
        <v>http://dx.doi.org/10.1016/j.ecolmodel.2007.01.010</v>
      </c>
      <c r="BG264" t="s">
        <v>74</v>
      </c>
      <c r="BH264" t="s">
        <v>74</v>
      </c>
      <c r="BI264">
        <v>14</v>
      </c>
      <c r="BJ264" t="s">
        <v>910</v>
      </c>
      <c r="BK264" t="s">
        <v>98</v>
      </c>
      <c r="BL264" t="s">
        <v>911</v>
      </c>
      <c r="BM264" t="s">
        <v>4525</v>
      </c>
      <c r="BN264" t="s">
        <v>74</v>
      </c>
      <c r="BO264" t="s">
        <v>74</v>
      </c>
      <c r="BP264" t="s">
        <v>74</v>
      </c>
      <c r="BQ264" t="s">
        <v>74</v>
      </c>
      <c r="BR264" t="s">
        <v>101</v>
      </c>
      <c r="BS264" t="s">
        <v>4526</v>
      </c>
      <c r="BT264" t="str">
        <f>HYPERLINK("https%3A%2F%2Fwww.webofscience.com%2Fwos%2Fwoscc%2Ffull-record%2FWOS:000246746700006","View Full Record in Web of Science")</f>
        <v>View Full Record in Web of Science</v>
      </c>
    </row>
    <row r="265" spans="1:72" x14ac:dyDescent="0.15">
      <c r="A265" t="s">
        <v>72</v>
      </c>
      <c r="B265" t="s">
        <v>4527</v>
      </c>
      <c r="C265" t="s">
        <v>74</v>
      </c>
      <c r="D265" t="s">
        <v>74</v>
      </c>
      <c r="E265" t="s">
        <v>74</v>
      </c>
      <c r="F265" t="s">
        <v>4528</v>
      </c>
      <c r="G265" t="s">
        <v>74</v>
      </c>
      <c r="H265" t="s">
        <v>74</v>
      </c>
      <c r="I265" t="s">
        <v>4529</v>
      </c>
      <c r="J265" t="s">
        <v>416</v>
      </c>
      <c r="K265" t="s">
        <v>74</v>
      </c>
      <c r="L265" t="s">
        <v>74</v>
      </c>
      <c r="M265" t="s">
        <v>78</v>
      </c>
      <c r="N265" t="s">
        <v>79</v>
      </c>
      <c r="O265" t="s">
        <v>74</v>
      </c>
      <c r="P265" t="s">
        <v>74</v>
      </c>
      <c r="Q265" t="s">
        <v>74</v>
      </c>
      <c r="R265" t="s">
        <v>74</v>
      </c>
      <c r="S265" t="s">
        <v>74</v>
      </c>
      <c r="T265" t="s">
        <v>74</v>
      </c>
      <c r="U265" t="s">
        <v>4530</v>
      </c>
      <c r="V265" t="s">
        <v>4531</v>
      </c>
      <c r="W265" t="s">
        <v>4532</v>
      </c>
      <c r="X265" t="s">
        <v>4533</v>
      </c>
      <c r="Y265" t="s">
        <v>4534</v>
      </c>
      <c r="Z265" t="s">
        <v>4535</v>
      </c>
      <c r="AA265" t="s">
        <v>4536</v>
      </c>
      <c r="AB265" t="s">
        <v>4537</v>
      </c>
      <c r="AC265" t="s">
        <v>74</v>
      </c>
      <c r="AD265" t="s">
        <v>74</v>
      </c>
      <c r="AE265" t="s">
        <v>74</v>
      </c>
      <c r="AF265" t="s">
        <v>74</v>
      </c>
      <c r="AG265">
        <v>47</v>
      </c>
      <c r="AH265">
        <v>45</v>
      </c>
      <c r="AI265">
        <v>51</v>
      </c>
      <c r="AJ265">
        <v>1</v>
      </c>
      <c r="AK265">
        <v>24</v>
      </c>
      <c r="AL265" t="s">
        <v>141</v>
      </c>
      <c r="AM265" t="s">
        <v>142</v>
      </c>
      <c r="AN265" t="s">
        <v>143</v>
      </c>
      <c r="AO265" t="s">
        <v>427</v>
      </c>
      <c r="AP265" t="s">
        <v>428</v>
      </c>
      <c r="AQ265" t="s">
        <v>74</v>
      </c>
      <c r="AR265" t="s">
        <v>429</v>
      </c>
      <c r="AS265" t="s">
        <v>430</v>
      </c>
      <c r="AT265" t="s">
        <v>4523</v>
      </c>
      <c r="AU265">
        <v>2007</v>
      </c>
      <c r="AV265">
        <v>112</v>
      </c>
      <c r="AW265" t="s">
        <v>4328</v>
      </c>
      <c r="AX265" t="s">
        <v>74</v>
      </c>
      <c r="AY265" t="s">
        <v>74</v>
      </c>
      <c r="AZ265" t="s">
        <v>74</v>
      </c>
      <c r="BA265" t="s">
        <v>74</v>
      </c>
      <c r="BB265" t="s">
        <v>74</v>
      </c>
      <c r="BC265" t="s">
        <v>74</v>
      </c>
      <c r="BD265" t="s">
        <v>4538</v>
      </c>
      <c r="BE265" t="s">
        <v>4539</v>
      </c>
      <c r="BF265" t="str">
        <f>HYPERLINK("http://dx.doi.org/10.1029/2006JD007822","http://dx.doi.org/10.1029/2006JD007822")</f>
        <v>http://dx.doi.org/10.1029/2006JD007822</v>
      </c>
      <c r="BG265" t="s">
        <v>74</v>
      </c>
      <c r="BH265" t="s">
        <v>74</v>
      </c>
      <c r="BI265">
        <v>9</v>
      </c>
      <c r="BJ265" t="s">
        <v>435</v>
      </c>
      <c r="BK265" t="s">
        <v>98</v>
      </c>
      <c r="BL265" t="s">
        <v>435</v>
      </c>
      <c r="BM265" t="s">
        <v>4540</v>
      </c>
      <c r="BN265" t="s">
        <v>74</v>
      </c>
      <c r="BO265" t="s">
        <v>198</v>
      </c>
      <c r="BP265" t="s">
        <v>74</v>
      </c>
      <c r="BQ265" t="s">
        <v>74</v>
      </c>
      <c r="BR265" t="s">
        <v>101</v>
      </c>
      <c r="BS265" t="s">
        <v>4541</v>
      </c>
      <c r="BT265" t="str">
        <f>HYPERLINK("https%3A%2F%2Fwww.webofscience.com%2Fwos%2Fwoscc%2Ffull-record%2FWOS:000247369600002","View Full Record in Web of Science")</f>
        <v>View Full Record in Web of Science</v>
      </c>
    </row>
    <row r="266" spans="1:72" x14ac:dyDescent="0.15">
      <c r="A266" t="s">
        <v>72</v>
      </c>
      <c r="B266" t="s">
        <v>4542</v>
      </c>
      <c r="C266" t="s">
        <v>74</v>
      </c>
      <c r="D266" t="s">
        <v>74</v>
      </c>
      <c r="E266" t="s">
        <v>74</v>
      </c>
      <c r="F266" t="s">
        <v>4543</v>
      </c>
      <c r="G266" t="s">
        <v>74</v>
      </c>
      <c r="H266" t="s">
        <v>74</v>
      </c>
      <c r="I266" t="s">
        <v>4544</v>
      </c>
      <c r="J266" t="s">
        <v>694</v>
      </c>
      <c r="K266" t="s">
        <v>74</v>
      </c>
      <c r="L266" t="s">
        <v>74</v>
      </c>
      <c r="M266" t="s">
        <v>78</v>
      </c>
      <c r="N266" t="s">
        <v>79</v>
      </c>
      <c r="O266" t="s">
        <v>74</v>
      </c>
      <c r="P266" t="s">
        <v>74</v>
      </c>
      <c r="Q266" t="s">
        <v>74</v>
      </c>
      <c r="R266" t="s">
        <v>74</v>
      </c>
      <c r="S266" t="s">
        <v>74</v>
      </c>
      <c r="T266" t="s">
        <v>4545</v>
      </c>
      <c r="U266" t="s">
        <v>4546</v>
      </c>
      <c r="V266" t="s">
        <v>4547</v>
      </c>
      <c r="W266" t="s">
        <v>4548</v>
      </c>
      <c r="X266" t="s">
        <v>4549</v>
      </c>
      <c r="Y266" t="s">
        <v>4550</v>
      </c>
      <c r="Z266" t="s">
        <v>4551</v>
      </c>
      <c r="AA266" t="s">
        <v>4552</v>
      </c>
      <c r="AB266" t="s">
        <v>4553</v>
      </c>
      <c r="AC266" t="s">
        <v>74</v>
      </c>
      <c r="AD266" t="s">
        <v>74</v>
      </c>
      <c r="AE266" t="s">
        <v>74</v>
      </c>
      <c r="AF266" t="s">
        <v>74</v>
      </c>
      <c r="AG266">
        <v>37</v>
      </c>
      <c r="AH266">
        <v>21</v>
      </c>
      <c r="AI266">
        <v>26</v>
      </c>
      <c r="AJ266">
        <v>0</v>
      </c>
      <c r="AK266">
        <v>19</v>
      </c>
      <c r="AL266" t="s">
        <v>272</v>
      </c>
      <c r="AM266" t="s">
        <v>273</v>
      </c>
      <c r="AN266" t="s">
        <v>274</v>
      </c>
      <c r="AO266" t="s">
        <v>704</v>
      </c>
      <c r="AP266" t="s">
        <v>705</v>
      </c>
      <c r="AQ266" t="s">
        <v>74</v>
      </c>
      <c r="AR266" t="s">
        <v>706</v>
      </c>
      <c r="AS266" t="s">
        <v>707</v>
      </c>
      <c r="AT266" t="s">
        <v>4554</v>
      </c>
      <c r="AU266">
        <v>2007</v>
      </c>
      <c r="AV266">
        <v>258</v>
      </c>
      <c r="AW266" t="s">
        <v>280</v>
      </c>
      <c r="AX266" t="s">
        <v>74</v>
      </c>
      <c r="AY266" t="s">
        <v>74</v>
      </c>
      <c r="AZ266" t="s">
        <v>74</v>
      </c>
      <c r="BA266" t="s">
        <v>74</v>
      </c>
      <c r="BB266">
        <v>32</v>
      </c>
      <c r="BC266">
        <v>43</v>
      </c>
      <c r="BD266" t="s">
        <v>74</v>
      </c>
      <c r="BE266" t="s">
        <v>4555</v>
      </c>
      <c r="BF266" t="str">
        <f>HYPERLINK("http://dx.doi.org/10.1016/j.epsl.2007.03.013","http://dx.doi.org/10.1016/j.epsl.2007.03.013")</f>
        <v>http://dx.doi.org/10.1016/j.epsl.2007.03.013</v>
      </c>
      <c r="BG266" t="s">
        <v>74</v>
      </c>
      <c r="BH266" t="s">
        <v>74</v>
      </c>
      <c r="BI266">
        <v>12</v>
      </c>
      <c r="BJ266" t="s">
        <v>688</v>
      </c>
      <c r="BK266" t="s">
        <v>98</v>
      </c>
      <c r="BL266" t="s">
        <v>688</v>
      </c>
      <c r="BM266" t="s">
        <v>4556</v>
      </c>
      <c r="BN266" t="s">
        <v>74</v>
      </c>
      <c r="BO266" t="s">
        <v>198</v>
      </c>
      <c r="BP266" t="s">
        <v>74</v>
      </c>
      <c r="BQ266" t="s">
        <v>74</v>
      </c>
      <c r="BR266" t="s">
        <v>101</v>
      </c>
      <c r="BS266" t="s">
        <v>4557</v>
      </c>
      <c r="BT266" t="str">
        <f>HYPERLINK("https%3A%2F%2Fwww.webofscience.com%2Fwos%2Fwoscc%2Ffull-record%2FWOS:000247828000003","View Full Record in Web of Science")</f>
        <v>View Full Record in Web of Science</v>
      </c>
    </row>
    <row r="267" spans="1:72" x14ac:dyDescent="0.15">
      <c r="A267" t="s">
        <v>72</v>
      </c>
      <c r="B267" t="s">
        <v>4558</v>
      </c>
      <c r="C267" t="s">
        <v>74</v>
      </c>
      <c r="D267" t="s">
        <v>74</v>
      </c>
      <c r="E267" t="s">
        <v>74</v>
      </c>
      <c r="F267" t="s">
        <v>4559</v>
      </c>
      <c r="G267" t="s">
        <v>74</v>
      </c>
      <c r="H267" t="s">
        <v>74</v>
      </c>
      <c r="I267" t="s">
        <v>4560</v>
      </c>
      <c r="J267" t="s">
        <v>1766</v>
      </c>
      <c r="K267" t="s">
        <v>74</v>
      </c>
      <c r="L267" t="s">
        <v>74</v>
      </c>
      <c r="M267" t="s">
        <v>78</v>
      </c>
      <c r="N267" t="s">
        <v>79</v>
      </c>
      <c r="O267" t="s">
        <v>74</v>
      </c>
      <c r="P267" t="s">
        <v>74</v>
      </c>
      <c r="Q267" t="s">
        <v>74</v>
      </c>
      <c r="R267" t="s">
        <v>74</v>
      </c>
      <c r="S267" t="s">
        <v>74</v>
      </c>
      <c r="T267" t="s">
        <v>74</v>
      </c>
      <c r="U267" t="s">
        <v>4561</v>
      </c>
      <c r="V267" t="s">
        <v>4562</v>
      </c>
      <c r="W267" t="s">
        <v>4563</v>
      </c>
      <c r="X267" t="s">
        <v>4564</v>
      </c>
      <c r="Y267" t="s">
        <v>4565</v>
      </c>
      <c r="Z267" t="s">
        <v>4566</v>
      </c>
      <c r="AA267" t="s">
        <v>4567</v>
      </c>
      <c r="AB267" t="s">
        <v>4568</v>
      </c>
      <c r="AC267" t="s">
        <v>74</v>
      </c>
      <c r="AD267" t="s">
        <v>74</v>
      </c>
      <c r="AE267" t="s">
        <v>74</v>
      </c>
      <c r="AF267" t="s">
        <v>74</v>
      </c>
      <c r="AG267">
        <v>55</v>
      </c>
      <c r="AH267">
        <v>100</v>
      </c>
      <c r="AI267">
        <v>116</v>
      </c>
      <c r="AJ267">
        <v>1</v>
      </c>
      <c r="AK267">
        <v>46</v>
      </c>
      <c r="AL267" t="s">
        <v>1503</v>
      </c>
      <c r="AM267" t="s">
        <v>1504</v>
      </c>
      <c r="AN267" t="s">
        <v>1505</v>
      </c>
      <c r="AO267" t="s">
        <v>1775</v>
      </c>
      <c r="AP267" t="s">
        <v>1790</v>
      </c>
      <c r="AQ267" t="s">
        <v>74</v>
      </c>
      <c r="AR267" t="s">
        <v>1776</v>
      </c>
      <c r="AS267" t="s">
        <v>1777</v>
      </c>
      <c r="AT267" t="s">
        <v>4554</v>
      </c>
      <c r="AU267">
        <v>2007</v>
      </c>
      <c r="AV267">
        <v>71</v>
      </c>
      <c r="AW267">
        <v>12</v>
      </c>
      <c r="AX267" t="s">
        <v>74</v>
      </c>
      <c r="AY267" t="s">
        <v>74</v>
      </c>
      <c r="AZ267" t="s">
        <v>74</v>
      </c>
      <c r="BA267" t="s">
        <v>74</v>
      </c>
      <c r="BB267">
        <v>2960</v>
      </c>
      <c r="BC267">
        <v>2974</v>
      </c>
      <c r="BD267" t="s">
        <v>74</v>
      </c>
      <c r="BE267" t="s">
        <v>4569</v>
      </c>
      <c r="BF267" t="str">
        <f>HYPERLINK("http://dx.doi.org/10.1016/j.gca.2007.03.013","http://dx.doi.org/10.1016/j.gca.2007.03.013")</f>
        <v>http://dx.doi.org/10.1016/j.gca.2007.03.013</v>
      </c>
      <c r="BG267" t="s">
        <v>74</v>
      </c>
      <c r="BH267" t="s">
        <v>74</v>
      </c>
      <c r="BI267">
        <v>15</v>
      </c>
      <c r="BJ267" t="s">
        <v>688</v>
      </c>
      <c r="BK267" t="s">
        <v>98</v>
      </c>
      <c r="BL267" t="s">
        <v>688</v>
      </c>
      <c r="BM267" t="s">
        <v>4570</v>
      </c>
      <c r="BN267" t="s">
        <v>74</v>
      </c>
      <c r="BO267" t="s">
        <v>74</v>
      </c>
      <c r="BP267" t="s">
        <v>74</v>
      </c>
      <c r="BQ267" t="s">
        <v>74</v>
      </c>
      <c r="BR267" t="s">
        <v>101</v>
      </c>
      <c r="BS267" t="s">
        <v>4571</v>
      </c>
      <c r="BT267" t="str">
        <f>HYPERLINK("https%3A%2F%2Fwww.webofscience.com%2Fwos%2Fwoscc%2Ffull-record%2FWOS:000247216400004","View Full Record in Web of Science")</f>
        <v>View Full Record in Web of Science</v>
      </c>
    </row>
    <row r="268" spans="1:72" x14ac:dyDescent="0.15">
      <c r="A268" t="s">
        <v>72</v>
      </c>
      <c r="B268" t="s">
        <v>4572</v>
      </c>
      <c r="C268" t="s">
        <v>74</v>
      </c>
      <c r="D268" t="s">
        <v>74</v>
      </c>
      <c r="E268" t="s">
        <v>74</v>
      </c>
      <c r="F268" t="s">
        <v>4573</v>
      </c>
      <c r="G268" t="s">
        <v>74</v>
      </c>
      <c r="H268" t="s">
        <v>74</v>
      </c>
      <c r="I268" t="s">
        <v>4574</v>
      </c>
      <c r="J268" t="s">
        <v>4575</v>
      </c>
      <c r="K268" t="s">
        <v>74</v>
      </c>
      <c r="L268" t="s">
        <v>74</v>
      </c>
      <c r="M268" t="s">
        <v>78</v>
      </c>
      <c r="N268" t="s">
        <v>514</v>
      </c>
      <c r="O268" t="s">
        <v>4576</v>
      </c>
      <c r="P268" t="s">
        <v>4577</v>
      </c>
      <c r="Q268" t="s">
        <v>4578</v>
      </c>
      <c r="R268" t="s">
        <v>74</v>
      </c>
      <c r="S268" t="s">
        <v>4579</v>
      </c>
      <c r="T268" t="s">
        <v>4580</v>
      </c>
      <c r="U268" t="s">
        <v>4581</v>
      </c>
      <c r="V268" t="s">
        <v>4582</v>
      </c>
      <c r="W268" t="s">
        <v>4583</v>
      </c>
      <c r="X268" t="s">
        <v>4584</v>
      </c>
      <c r="Y268" t="s">
        <v>4585</v>
      </c>
      <c r="Z268" t="s">
        <v>4586</v>
      </c>
      <c r="AA268" t="s">
        <v>74</v>
      </c>
      <c r="AB268" t="s">
        <v>74</v>
      </c>
      <c r="AC268" t="s">
        <v>74</v>
      </c>
      <c r="AD268" t="s">
        <v>74</v>
      </c>
      <c r="AE268" t="s">
        <v>74</v>
      </c>
      <c r="AF268" t="s">
        <v>74</v>
      </c>
      <c r="AG268">
        <v>35</v>
      </c>
      <c r="AH268">
        <v>12</v>
      </c>
      <c r="AI268">
        <v>14</v>
      </c>
      <c r="AJ268">
        <v>0</v>
      </c>
      <c r="AK268">
        <v>10</v>
      </c>
      <c r="AL268" t="s">
        <v>1202</v>
      </c>
      <c r="AM268" t="s">
        <v>1203</v>
      </c>
      <c r="AN268" t="s">
        <v>1204</v>
      </c>
      <c r="AO268" t="s">
        <v>4587</v>
      </c>
      <c r="AP268" t="s">
        <v>4588</v>
      </c>
      <c r="AQ268" t="s">
        <v>74</v>
      </c>
      <c r="AR268" t="s">
        <v>4589</v>
      </c>
      <c r="AS268" t="s">
        <v>4590</v>
      </c>
      <c r="AT268" t="s">
        <v>4554</v>
      </c>
      <c r="AU268">
        <v>2007</v>
      </c>
      <c r="AV268">
        <v>21</v>
      </c>
      <c r="AW268">
        <v>12</v>
      </c>
      <c r="AX268" t="s">
        <v>74</v>
      </c>
      <c r="AY268" t="s">
        <v>74</v>
      </c>
      <c r="AZ268" t="s">
        <v>74</v>
      </c>
      <c r="BA268" t="s">
        <v>74</v>
      </c>
      <c r="BB268">
        <v>1624</v>
      </c>
      <c r="BC268">
        <v>1629</v>
      </c>
      <c r="BD268" t="s">
        <v>74</v>
      </c>
      <c r="BE268" t="s">
        <v>4591</v>
      </c>
      <c r="BF268" t="str">
        <f>HYPERLINK("http://dx.doi.org/10.1002/hyp.6725","http://dx.doi.org/10.1002/hyp.6725")</f>
        <v>http://dx.doi.org/10.1002/hyp.6725</v>
      </c>
      <c r="BG268" t="s">
        <v>74</v>
      </c>
      <c r="BH268" t="s">
        <v>74</v>
      </c>
      <c r="BI268">
        <v>6</v>
      </c>
      <c r="BJ268" t="s">
        <v>4592</v>
      </c>
      <c r="BK268" t="s">
        <v>535</v>
      </c>
      <c r="BL268" t="s">
        <v>4592</v>
      </c>
      <c r="BM268" t="s">
        <v>4593</v>
      </c>
      <c r="BN268" t="s">
        <v>74</v>
      </c>
      <c r="BO268" t="s">
        <v>74</v>
      </c>
      <c r="BP268" t="s">
        <v>74</v>
      </c>
      <c r="BQ268" t="s">
        <v>74</v>
      </c>
      <c r="BR268" t="s">
        <v>101</v>
      </c>
      <c r="BS268" t="s">
        <v>4594</v>
      </c>
      <c r="BT268" t="str">
        <f>HYPERLINK("https%3A%2F%2Fwww.webofscience.com%2Fwos%2Fwoscc%2Ffull-record%2FWOS:000247438300011","View Full Record in Web of Science")</f>
        <v>View Full Record in Web of Science</v>
      </c>
    </row>
    <row r="269" spans="1:72" x14ac:dyDescent="0.15">
      <c r="A269" t="s">
        <v>72</v>
      </c>
      <c r="B269" t="s">
        <v>4595</v>
      </c>
      <c r="C269" t="s">
        <v>74</v>
      </c>
      <c r="D269" t="s">
        <v>74</v>
      </c>
      <c r="E269" t="s">
        <v>74</v>
      </c>
      <c r="F269" t="s">
        <v>4596</v>
      </c>
      <c r="G269" t="s">
        <v>74</v>
      </c>
      <c r="H269" t="s">
        <v>74</v>
      </c>
      <c r="I269" t="s">
        <v>4597</v>
      </c>
      <c r="J269" t="s">
        <v>130</v>
      </c>
      <c r="K269" t="s">
        <v>74</v>
      </c>
      <c r="L269" t="s">
        <v>74</v>
      </c>
      <c r="M269" t="s">
        <v>78</v>
      </c>
      <c r="N269" t="s">
        <v>79</v>
      </c>
      <c r="O269" t="s">
        <v>74</v>
      </c>
      <c r="P269" t="s">
        <v>74</v>
      </c>
      <c r="Q269" t="s">
        <v>74</v>
      </c>
      <c r="R269" t="s">
        <v>74</v>
      </c>
      <c r="S269" t="s">
        <v>74</v>
      </c>
      <c r="T269" t="s">
        <v>74</v>
      </c>
      <c r="U269" t="s">
        <v>4598</v>
      </c>
      <c r="V269" t="s">
        <v>4599</v>
      </c>
      <c r="W269" t="s">
        <v>4600</v>
      </c>
      <c r="X269" t="s">
        <v>4601</v>
      </c>
      <c r="Y269" t="s">
        <v>4602</v>
      </c>
      <c r="Z269" t="s">
        <v>4603</v>
      </c>
      <c r="AA269" t="s">
        <v>4604</v>
      </c>
      <c r="AB269" t="s">
        <v>4605</v>
      </c>
      <c r="AC269" t="s">
        <v>74</v>
      </c>
      <c r="AD269" t="s">
        <v>74</v>
      </c>
      <c r="AE269" t="s">
        <v>74</v>
      </c>
      <c r="AF269" t="s">
        <v>74</v>
      </c>
      <c r="AG269">
        <v>8</v>
      </c>
      <c r="AH269">
        <v>3</v>
      </c>
      <c r="AI269">
        <v>4</v>
      </c>
      <c r="AJ269">
        <v>0</v>
      </c>
      <c r="AK269">
        <v>6</v>
      </c>
      <c r="AL269" t="s">
        <v>141</v>
      </c>
      <c r="AM269" t="s">
        <v>142</v>
      </c>
      <c r="AN269" t="s">
        <v>143</v>
      </c>
      <c r="AO269" t="s">
        <v>144</v>
      </c>
      <c r="AP269" t="s">
        <v>74</v>
      </c>
      <c r="AQ269" t="s">
        <v>74</v>
      </c>
      <c r="AR269" t="s">
        <v>146</v>
      </c>
      <c r="AS269" t="s">
        <v>147</v>
      </c>
      <c r="AT269" t="s">
        <v>4606</v>
      </c>
      <c r="AU269">
        <v>2007</v>
      </c>
      <c r="AV269">
        <v>34</v>
      </c>
      <c r="AW269">
        <v>11</v>
      </c>
      <c r="AX269" t="s">
        <v>74</v>
      </c>
      <c r="AY269" t="s">
        <v>74</v>
      </c>
      <c r="AZ269" t="s">
        <v>74</v>
      </c>
      <c r="BA269" t="s">
        <v>74</v>
      </c>
      <c r="BB269" t="s">
        <v>74</v>
      </c>
      <c r="BC269" t="s">
        <v>74</v>
      </c>
      <c r="BD269" t="s">
        <v>4607</v>
      </c>
      <c r="BE269" t="s">
        <v>4608</v>
      </c>
      <c r="BF269" t="str">
        <f>HYPERLINK("http://dx.doi.org/10.1029/2007GL030130","http://dx.doi.org/10.1029/2007GL030130")</f>
        <v>http://dx.doi.org/10.1029/2007GL030130</v>
      </c>
      <c r="BG269" t="s">
        <v>74</v>
      </c>
      <c r="BH269" t="s">
        <v>74</v>
      </c>
      <c r="BI269">
        <v>5</v>
      </c>
      <c r="BJ269" t="s">
        <v>151</v>
      </c>
      <c r="BK269" t="s">
        <v>98</v>
      </c>
      <c r="BL269" t="s">
        <v>152</v>
      </c>
      <c r="BM269" t="s">
        <v>4609</v>
      </c>
      <c r="BN269" t="s">
        <v>74</v>
      </c>
      <c r="BO269" t="s">
        <v>4610</v>
      </c>
      <c r="BP269" t="s">
        <v>74</v>
      </c>
      <c r="BQ269" t="s">
        <v>74</v>
      </c>
      <c r="BR269" t="s">
        <v>101</v>
      </c>
      <c r="BS269" t="s">
        <v>4611</v>
      </c>
      <c r="BT269" t="str">
        <f>HYPERLINK("https%3A%2F%2Fwww.webofscience.com%2Fwos%2Fwoscc%2Ffull-record%2FWOS:000247368700007","View Full Record in Web of Science")</f>
        <v>View Full Record in Web of Science</v>
      </c>
    </row>
    <row r="270" spans="1:72" x14ac:dyDescent="0.15">
      <c r="A270" t="s">
        <v>72</v>
      </c>
      <c r="B270" t="s">
        <v>4612</v>
      </c>
      <c r="C270" t="s">
        <v>74</v>
      </c>
      <c r="D270" t="s">
        <v>74</v>
      </c>
      <c r="E270" t="s">
        <v>74</v>
      </c>
      <c r="F270" t="s">
        <v>4613</v>
      </c>
      <c r="G270" t="s">
        <v>74</v>
      </c>
      <c r="H270" t="s">
        <v>74</v>
      </c>
      <c r="I270" t="s">
        <v>4614</v>
      </c>
      <c r="J270" t="s">
        <v>492</v>
      </c>
      <c r="K270" t="s">
        <v>74</v>
      </c>
      <c r="L270" t="s">
        <v>74</v>
      </c>
      <c r="M270" t="s">
        <v>78</v>
      </c>
      <c r="N270" t="s">
        <v>79</v>
      </c>
      <c r="O270" t="s">
        <v>74</v>
      </c>
      <c r="P270" t="s">
        <v>74</v>
      </c>
      <c r="Q270" t="s">
        <v>74</v>
      </c>
      <c r="R270" t="s">
        <v>74</v>
      </c>
      <c r="S270" t="s">
        <v>74</v>
      </c>
      <c r="T270" t="s">
        <v>4615</v>
      </c>
      <c r="U270" t="s">
        <v>4616</v>
      </c>
      <c r="V270" t="s">
        <v>4617</v>
      </c>
      <c r="W270" t="s">
        <v>4618</v>
      </c>
      <c r="X270" t="s">
        <v>4619</v>
      </c>
      <c r="Y270" t="s">
        <v>4620</v>
      </c>
      <c r="Z270" t="s">
        <v>4621</v>
      </c>
      <c r="AA270" t="s">
        <v>4622</v>
      </c>
      <c r="AB270" t="s">
        <v>4623</v>
      </c>
      <c r="AC270" t="s">
        <v>74</v>
      </c>
      <c r="AD270" t="s">
        <v>74</v>
      </c>
      <c r="AE270" t="s">
        <v>74</v>
      </c>
      <c r="AF270" t="s">
        <v>74</v>
      </c>
      <c r="AG270">
        <v>15</v>
      </c>
      <c r="AH270">
        <v>2</v>
      </c>
      <c r="AI270">
        <v>2</v>
      </c>
      <c r="AJ270">
        <v>0</v>
      </c>
      <c r="AK270">
        <v>0</v>
      </c>
      <c r="AL270" t="s">
        <v>500</v>
      </c>
      <c r="AM270" t="s">
        <v>501</v>
      </c>
      <c r="AN270" t="s">
        <v>502</v>
      </c>
      <c r="AO270" t="s">
        <v>503</v>
      </c>
      <c r="AP270" t="s">
        <v>504</v>
      </c>
      <c r="AQ270" t="s">
        <v>74</v>
      </c>
      <c r="AR270" t="s">
        <v>492</v>
      </c>
      <c r="AS270" t="s">
        <v>505</v>
      </c>
      <c r="AT270" t="s">
        <v>4606</v>
      </c>
      <c r="AU270">
        <v>2007</v>
      </c>
      <c r="AV270" t="s">
        <v>74</v>
      </c>
      <c r="AW270">
        <v>1505</v>
      </c>
      <c r="AX270" t="s">
        <v>74</v>
      </c>
      <c r="AY270" t="s">
        <v>74</v>
      </c>
      <c r="AZ270" t="s">
        <v>74</v>
      </c>
      <c r="BA270" t="s">
        <v>74</v>
      </c>
      <c r="BB270">
        <v>19</v>
      </c>
      <c r="BC270">
        <v>35</v>
      </c>
      <c r="BD270" t="s">
        <v>74</v>
      </c>
      <c r="BE270" t="s">
        <v>74</v>
      </c>
      <c r="BF270" t="s">
        <v>74</v>
      </c>
      <c r="BG270" t="s">
        <v>74</v>
      </c>
      <c r="BH270" t="s">
        <v>74</v>
      </c>
      <c r="BI270">
        <v>17</v>
      </c>
      <c r="BJ270" t="s">
        <v>507</v>
      </c>
      <c r="BK270" t="s">
        <v>98</v>
      </c>
      <c r="BL270" t="s">
        <v>507</v>
      </c>
      <c r="BM270" t="s">
        <v>4624</v>
      </c>
      <c r="BN270" t="s">
        <v>74</v>
      </c>
      <c r="BO270" t="s">
        <v>74</v>
      </c>
      <c r="BP270" t="s">
        <v>74</v>
      </c>
      <c r="BQ270" t="s">
        <v>74</v>
      </c>
      <c r="BR270" t="s">
        <v>101</v>
      </c>
      <c r="BS270" t="s">
        <v>4625</v>
      </c>
      <c r="BT270" t="str">
        <f>HYPERLINK("https%3A%2F%2Fwww.webofscience.com%2Fwos%2Fwoscc%2Ffull-record%2FWOS:000247212400002","View Full Record in Web of Science")</f>
        <v>View Full Record in Web of Science</v>
      </c>
    </row>
    <row r="271" spans="1:72" x14ac:dyDescent="0.15">
      <c r="A271" t="s">
        <v>72</v>
      </c>
      <c r="B271" t="s">
        <v>4626</v>
      </c>
      <c r="C271" t="s">
        <v>74</v>
      </c>
      <c r="D271" t="s">
        <v>74</v>
      </c>
      <c r="E271" t="s">
        <v>74</v>
      </c>
      <c r="F271" t="s">
        <v>4627</v>
      </c>
      <c r="G271" t="s">
        <v>74</v>
      </c>
      <c r="H271" t="s">
        <v>74</v>
      </c>
      <c r="I271" t="s">
        <v>4628</v>
      </c>
      <c r="J271" t="s">
        <v>1046</v>
      </c>
      <c r="K271" t="s">
        <v>74</v>
      </c>
      <c r="L271" t="s">
        <v>74</v>
      </c>
      <c r="M271" t="s">
        <v>78</v>
      </c>
      <c r="N271" t="s">
        <v>79</v>
      </c>
      <c r="O271" t="s">
        <v>74</v>
      </c>
      <c r="P271" t="s">
        <v>74</v>
      </c>
      <c r="Q271" t="s">
        <v>74</v>
      </c>
      <c r="R271" t="s">
        <v>74</v>
      </c>
      <c r="S271" t="s">
        <v>74</v>
      </c>
      <c r="T271" t="s">
        <v>4629</v>
      </c>
      <c r="U271" t="s">
        <v>4630</v>
      </c>
      <c r="V271" t="s">
        <v>4631</v>
      </c>
      <c r="W271" t="s">
        <v>4632</v>
      </c>
      <c r="X271" t="s">
        <v>4633</v>
      </c>
      <c r="Y271" t="s">
        <v>4634</v>
      </c>
      <c r="Z271" t="s">
        <v>4635</v>
      </c>
      <c r="AA271" t="s">
        <v>74</v>
      </c>
      <c r="AB271" t="s">
        <v>4636</v>
      </c>
      <c r="AC271" t="s">
        <v>4637</v>
      </c>
      <c r="AD271" t="s">
        <v>4638</v>
      </c>
      <c r="AE271" t="s">
        <v>74</v>
      </c>
      <c r="AF271" t="s">
        <v>74</v>
      </c>
      <c r="AG271">
        <v>76</v>
      </c>
      <c r="AH271">
        <v>40</v>
      </c>
      <c r="AI271">
        <v>41</v>
      </c>
      <c r="AJ271">
        <v>0</v>
      </c>
      <c r="AK271">
        <v>19</v>
      </c>
      <c r="AL271" t="s">
        <v>141</v>
      </c>
      <c r="AM271" t="s">
        <v>142</v>
      </c>
      <c r="AN271" t="s">
        <v>143</v>
      </c>
      <c r="AO271" t="s">
        <v>1054</v>
      </c>
      <c r="AP271" t="s">
        <v>74</v>
      </c>
      <c r="AQ271" t="s">
        <v>74</v>
      </c>
      <c r="AR271" t="s">
        <v>1055</v>
      </c>
      <c r="AS271" t="s">
        <v>1056</v>
      </c>
      <c r="AT271" t="s">
        <v>4639</v>
      </c>
      <c r="AU271">
        <v>2007</v>
      </c>
      <c r="AV271">
        <v>8</v>
      </c>
      <c r="AW271" t="s">
        <v>74</v>
      </c>
      <c r="AX271" t="s">
        <v>74</v>
      </c>
      <c r="AY271" t="s">
        <v>74</v>
      </c>
      <c r="AZ271" t="s">
        <v>74</v>
      </c>
      <c r="BA271" t="s">
        <v>74</v>
      </c>
      <c r="BB271" t="s">
        <v>74</v>
      </c>
      <c r="BC271" t="s">
        <v>74</v>
      </c>
      <c r="BD271" t="s">
        <v>4640</v>
      </c>
      <c r="BE271" t="s">
        <v>4641</v>
      </c>
      <c r="BF271" t="str">
        <f>HYPERLINK("http://dx.doi.org/10.1029/2006GC001441","http://dx.doi.org/10.1029/2006GC001441")</f>
        <v>http://dx.doi.org/10.1029/2006GC001441</v>
      </c>
      <c r="BG271" t="s">
        <v>74</v>
      </c>
      <c r="BH271" t="s">
        <v>74</v>
      </c>
      <c r="BI271">
        <v>13</v>
      </c>
      <c r="BJ271" t="s">
        <v>688</v>
      </c>
      <c r="BK271" t="s">
        <v>98</v>
      </c>
      <c r="BL271" t="s">
        <v>688</v>
      </c>
      <c r="BM271" t="s">
        <v>4642</v>
      </c>
      <c r="BN271" t="s">
        <v>74</v>
      </c>
      <c r="BO271" t="s">
        <v>4643</v>
      </c>
      <c r="BP271" t="s">
        <v>74</v>
      </c>
      <c r="BQ271" t="s">
        <v>74</v>
      </c>
      <c r="BR271" t="s">
        <v>101</v>
      </c>
      <c r="BS271" t="s">
        <v>4644</v>
      </c>
      <c r="BT271" t="str">
        <f>HYPERLINK("https%3A%2F%2Fwww.webofscience.com%2Fwos%2Fwoscc%2Ffull-record%2FWOS:000247368000001","View Full Record in Web of Science")</f>
        <v>View Full Record in Web of Science</v>
      </c>
    </row>
    <row r="272" spans="1:72" x14ac:dyDescent="0.15">
      <c r="A272" t="s">
        <v>72</v>
      </c>
      <c r="B272" t="s">
        <v>4645</v>
      </c>
      <c r="C272" t="s">
        <v>74</v>
      </c>
      <c r="D272" t="s">
        <v>74</v>
      </c>
      <c r="E272" t="s">
        <v>74</v>
      </c>
      <c r="F272" t="s">
        <v>4646</v>
      </c>
      <c r="G272" t="s">
        <v>74</v>
      </c>
      <c r="H272" t="s">
        <v>74</v>
      </c>
      <c r="I272" t="s">
        <v>4647</v>
      </c>
      <c r="J272" t="s">
        <v>203</v>
      </c>
      <c r="K272" t="s">
        <v>74</v>
      </c>
      <c r="L272" t="s">
        <v>74</v>
      </c>
      <c r="M272" t="s">
        <v>78</v>
      </c>
      <c r="N272" t="s">
        <v>79</v>
      </c>
      <c r="O272" t="s">
        <v>74</v>
      </c>
      <c r="P272" t="s">
        <v>74</v>
      </c>
      <c r="Q272" t="s">
        <v>74</v>
      </c>
      <c r="R272" t="s">
        <v>74</v>
      </c>
      <c r="S272" t="s">
        <v>74</v>
      </c>
      <c r="T272" t="s">
        <v>74</v>
      </c>
      <c r="U272" t="s">
        <v>4648</v>
      </c>
      <c r="V272" t="s">
        <v>4649</v>
      </c>
      <c r="W272" t="s">
        <v>4650</v>
      </c>
      <c r="X272" t="s">
        <v>4651</v>
      </c>
      <c r="Y272" t="s">
        <v>4652</v>
      </c>
      <c r="Z272" t="s">
        <v>4653</v>
      </c>
      <c r="AA272" t="s">
        <v>74</v>
      </c>
      <c r="AB272" t="s">
        <v>74</v>
      </c>
      <c r="AC272" t="s">
        <v>74</v>
      </c>
      <c r="AD272" t="s">
        <v>74</v>
      </c>
      <c r="AE272" t="s">
        <v>74</v>
      </c>
      <c r="AF272" t="s">
        <v>74</v>
      </c>
      <c r="AG272">
        <v>43</v>
      </c>
      <c r="AH272">
        <v>4</v>
      </c>
      <c r="AI272">
        <v>7</v>
      </c>
      <c r="AJ272">
        <v>0</v>
      </c>
      <c r="AK272">
        <v>6</v>
      </c>
      <c r="AL272" t="s">
        <v>141</v>
      </c>
      <c r="AM272" t="s">
        <v>142</v>
      </c>
      <c r="AN272" t="s">
        <v>143</v>
      </c>
      <c r="AO272" t="s">
        <v>213</v>
      </c>
      <c r="AP272" t="s">
        <v>214</v>
      </c>
      <c r="AQ272" t="s">
        <v>74</v>
      </c>
      <c r="AR272" t="s">
        <v>215</v>
      </c>
      <c r="AS272" t="s">
        <v>216</v>
      </c>
      <c r="AT272" t="s">
        <v>4654</v>
      </c>
      <c r="AU272">
        <v>2007</v>
      </c>
      <c r="AV272">
        <v>112</v>
      </c>
      <c r="AW272" t="s">
        <v>4655</v>
      </c>
      <c r="AX272" t="s">
        <v>74</v>
      </c>
      <c r="AY272" t="s">
        <v>74</v>
      </c>
      <c r="AZ272" t="s">
        <v>74</v>
      </c>
      <c r="BA272" t="s">
        <v>74</v>
      </c>
      <c r="BB272" t="s">
        <v>74</v>
      </c>
      <c r="BC272" t="s">
        <v>74</v>
      </c>
      <c r="BD272" t="s">
        <v>4656</v>
      </c>
      <c r="BE272" t="s">
        <v>4657</v>
      </c>
      <c r="BF272" t="str">
        <f>HYPERLINK("http://dx.doi.org/10.1029/2006JC003568","http://dx.doi.org/10.1029/2006JC003568")</f>
        <v>http://dx.doi.org/10.1029/2006JC003568</v>
      </c>
      <c r="BG272" t="s">
        <v>74</v>
      </c>
      <c r="BH272" t="s">
        <v>74</v>
      </c>
      <c r="BI272">
        <v>14</v>
      </c>
      <c r="BJ272" t="s">
        <v>221</v>
      </c>
      <c r="BK272" t="s">
        <v>98</v>
      </c>
      <c r="BL272" t="s">
        <v>221</v>
      </c>
      <c r="BM272" t="s">
        <v>4658</v>
      </c>
      <c r="BN272" t="s">
        <v>74</v>
      </c>
      <c r="BO272" t="s">
        <v>74</v>
      </c>
      <c r="BP272" t="s">
        <v>74</v>
      </c>
      <c r="BQ272" t="s">
        <v>74</v>
      </c>
      <c r="BR272" t="s">
        <v>101</v>
      </c>
      <c r="BS272" t="s">
        <v>4659</v>
      </c>
      <c r="BT272" t="str">
        <f>HYPERLINK("https%3A%2F%2Fwww.webofscience.com%2Fwos%2Fwoscc%2Ffull-record%2FWOS:000247370000001","View Full Record in Web of Science")</f>
        <v>View Full Record in Web of Science</v>
      </c>
    </row>
    <row r="273" spans="1:72" x14ac:dyDescent="0.15">
      <c r="A273" t="s">
        <v>72</v>
      </c>
      <c r="B273" t="s">
        <v>4660</v>
      </c>
      <c r="C273" t="s">
        <v>74</v>
      </c>
      <c r="D273" t="s">
        <v>74</v>
      </c>
      <c r="E273" t="s">
        <v>74</v>
      </c>
      <c r="F273" t="s">
        <v>4661</v>
      </c>
      <c r="G273" t="s">
        <v>74</v>
      </c>
      <c r="H273" t="s">
        <v>74</v>
      </c>
      <c r="I273" t="s">
        <v>4662</v>
      </c>
      <c r="J273" t="s">
        <v>470</v>
      </c>
      <c r="K273" t="s">
        <v>74</v>
      </c>
      <c r="L273" t="s">
        <v>74</v>
      </c>
      <c r="M273" t="s">
        <v>78</v>
      </c>
      <c r="N273" t="s">
        <v>79</v>
      </c>
      <c r="O273" t="s">
        <v>74</v>
      </c>
      <c r="P273" t="s">
        <v>74</v>
      </c>
      <c r="Q273" t="s">
        <v>74</v>
      </c>
      <c r="R273" t="s">
        <v>74</v>
      </c>
      <c r="S273" t="s">
        <v>74</v>
      </c>
      <c r="T273" t="s">
        <v>4663</v>
      </c>
      <c r="U273" t="s">
        <v>4664</v>
      </c>
      <c r="V273" t="s">
        <v>4665</v>
      </c>
      <c r="W273" t="s">
        <v>4666</v>
      </c>
      <c r="X273" t="s">
        <v>4667</v>
      </c>
      <c r="Y273" t="s">
        <v>4668</v>
      </c>
      <c r="Z273" t="s">
        <v>4669</v>
      </c>
      <c r="AA273" t="s">
        <v>4670</v>
      </c>
      <c r="AB273" t="s">
        <v>4671</v>
      </c>
      <c r="AC273" t="s">
        <v>4672</v>
      </c>
      <c r="AD273" t="s">
        <v>140</v>
      </c>
      <c r="AE273" t="s">
        <v>74</v>
      </c>
      <c r="AF273" t="s">
        <v>74</v>
      </c>
      <c r="AG273">
        <v>17</v>
      </c>
      <c r="AH273">
        <v>1179</v>
      </c>
      <c r="AI273">
        <v>1365</v>
      </c>
      <c r="AJ273">
        <v>31</v>
      </c>
      <c r="AK273">
        <v>549</v>
      </c>
      <c r="AL273" t="s">
        <v>481</v>
      </c>
      <c r="AM273" t="s">
        <v>142</v>
      </c>
      <c r="AN273" t="s">
        <v>482</v>
      </c>
      <c r="AO273" t="s">
        <v>483</v>
      </c>
      <c r="AP273" t="s">
        <v>74</v>
      </c>
      <c r="AQ273" t="s">
        <v>74</v>
      </c>
      <c r="AR273" t="s">
        <v>484</v>
      </c>
      <c r="AS273" t="s">
        <v>485</v>
      </c>
      <c r="AT273" t="s">
        <v>4654</v>
      </c>
      <c r="AU273">
        <v>2007</v>
      </c>
      <c r="AV273">
        <v>104</v>
      </c>
      <c r="AW273">
        <v>24</v>
      </c>
      <c r="AX273" t="s">
        <v>74</v>
      </c>
      <c r="AY273" t="s">
        <v>74</v>
      </c>
      <c r="AZ273" t="s">
        <v>74</v>
      </c>
      <c r="BA273" t="s">
        <v>74</v>
      </c>
      <c r="BB273">
        <v>10288</v>
      </c>
      <c r="BC273">
        <v>10293</v>
      </c>
      <c r="BD273" t="s">
        <v>74</v>
      </c>
      <c r="BE273" t="s">
        <v>4673</v>
      </c>
      <c r="BF273" t="str">
        <f>HYPERLINK("http://dx.doi.org/10.1073/pnas.0700609104","http://dx.doi.org/10.1073/pnas.0700609104")</f>
        <v>http://dx.doi.org/10.1073/pnas.0700609104</v>
      </c>
      <c r="BG273" t="s">
        <v>74</v>
      </c>
      <c r="BH273" t="s">
        <v>74</v>
      </c>
      <c r="BI273">
        <v>6</v>
      </c>
      <c r="BJ273" t="s">
        <v>241</v>
      </c>
      <c r="BK273" t="s">
        <v>98</v>
      </c>
      <c r="BL273" t="s">
        <v>242</v>
      </c>
      <c r="BM273" t="s">
        <v>4674</v>
      </c>
      <c r="BN273">
        <v>17519334</v>
      </c>
      <c r="BO273" t="s">
        <v>198</v>
      </c>
      <c r="BP273" t="s">
        <v>74</v>
      </c>
      <c r="BQ273" t="s">
        <v>74</v>
      </c>
      <c r="BR273" t="s">
        <v>101</v>
      </c>
      <c r="BS273" t="s">
        <v>4675</v>
      </c>
      <c r="BT273" t="str">
        <f>HYPERLINK("https%3A%2F%2Fwww.webofscience.com%2Fwos%2Fwoscc%2Ffull-record%2FWOS:000247363000066","View Full Record in Web of Science")</f>
        <v>View Full Record in Web of Science</v>
      </c>
    </row>
    <row r="274" spans="1:72" x14ac:dyDescent="0.15">
      <c r="A274" t="s">
        <v>72</v>
      </c>
      <c r="B274" t="s">
        <v>4676</v>
      </c>
      <c r="C274" t="s">
        <v>74</v>
      </c>
      <c r="D274" t="s">
        <v>74</v>
      </c>
      <c r="E274" t="s">
        <v>74</v>
      </c>
      <c r="F274" t="s">
        <v>4677</v>
      </c>
      <c r="G274" t="s">
        <v>74</v>
      </c>
      <c r="H274" t="s">
        <v>74</v>
      </c>
      <c r="I274" t="s">
        <v>4678</v>
      </c>
      <c r="J274" t="s">
        <v>228</v>
      </c>
      <c r="K274" t="s">
        <v>74</v>
      </c>
      <c r="L274" t="s">
        <v>74</v>
      </c>
      <c r="M274" t="s">
        <v>78</v>
      </c>
      <c r="N274" t="s">
        <v>79</v>
      </c>
      <c r="O274" t="s">
        <v>74</v>
      </c>
      <c r="P274" t="s">
        <v>74</v>
      </c>
      <c r="Q274" t="s">
        <v>74</v>
      </c>
      <c r="R274" t="s">
        <v>74</v>
      </c>
      <c r="S274" t="s">
        <v>74</v>
      </c>
      <c r="T274" t="s">
        <v>4679</v>
      </c>
      <c r="U274" t="s">
        <v>4680</v>
      </c>
      <c r="V274" t="s">
        <v>4681</v>
      </c>
      <c r="W274" t="s">
        <v>4682</v>
      </c>
      <c r="X274" t="s">
        <v>4683</v>
      </c>
      <c r="Y274" t="s">
        <v>4684</v>
      </c>
      <c r="Z274" t="s">
        <v>4685</v>
      </c>
      <c r="AA274" t="s">
        <v>4686</v>
      </c>
      <c r="AB274" t="s">
        <v>4687</v>
      </c>
      <c r="AC274" t="s">
        <v>74</v>
      </c>
      <c r="AD274" t="s">
        <v>74</v>
      </c>
      <c r="AE274" t="s">
        <v>74</v>
      </c>
      <c r="AF274" t="s">
        <v>74</v>
      </c>
      <c r="AG274">
        <v>34</v>
      </c>
      <c r="AH274">
        <v>1</v>
      </c>
      <c r="AI274">
        <v>1</v>
      </c>
      <c r="AJ274">
        <v>1</v>
      </c>
      <c r="AK274">
        <v>4</v>
      </c>
      <c r="AL274" t="s">
        <v>256</v>
      </c>
      <c r="AM274" t="s">
        <v>235</v>
      </c>
      <c r="AN274" t="s">
        <v>257</v>
      </c>
      <c r="AO274" t="s">
        <v>237</v>
      </c>
      <c r="AP274" t="s">
        <v>74</v>
      </c>
      <c r="AQ274" t="s">
        <v>74</v>
      </c>
      <c r="AR274" t="s">
        <v>238</v>
      </c>
      <c r="AS274" t="s">
        <v>239</v>
      </c>
      <c r="AT274" t="s">
        <v>4688</v>
      </c>
      <c r="AU274">
        <v>2007</v>
      </c>
      <c r="AV274">
        <v>92</v>
      </c>
      <c r="AW274">
        <v>11</v>
      </c>
      <c r="AX274" t="s">
        <v>74</v>
      </c>
      <c r="AY274" t="s">
        <v>74</v>
      </c>
      <c r="AZ274" t="s">
        <v>74</v>
      </c>
      <c r="BA274" t="s">
        <v>74</v>
      </c>
      <c r="BB274">
        <v>1579</v>
      </c>
      <c r="BC274">
        <v>1585</v>
      </c>
      <c r="BD274" t="s">
        <v>74</v>
      </c>
      <c r="BE274" t="s">
        <v>74</v>
      </c>
      <c r="BF274" t="s">
        <v>74</v>
      </c>
      <c r="BG274" t="s">
        <v>74</v>
      </c>
      <c r="BH274" t="s">
        <v>74</v>
      </c>
      <c r="BI274">
        <v>7</v>
      </c>
      <c r="BJ274" t="s">
        <v>241</v>
      </c>
      <c r="BK274" t="s">
        <v>98</v>
      </c>
      <c r="BL274" t="s">
        <v>242</v>
      </c>
      <c r="BM274" t="s">
        <v>4689</v>
      </c>
      <c r="BN274" t="s">
        <v>74</v>
      </c>
      <c r="BO274" t="s">
        <v>74</v>
      </c>
      <c r="BP274" t="s">
        <v>74</v>
      </c>
      <c r="BQ274" t="s">
        <v>74</v>
      </c>
      <c r="BR274" t="s">
        <v>101</v>
      </c>
      <c r="BS274" t="s">
        <v>4690</v>
      </c>
      <c r="BT274" t="str">
        <f>HYPERLINK("https%3A%2F%2Fwww.webofscience.com%2Fwos%2Fwoscc%2Ffull-record%2FWOS:000249487200029","View Full Record in Web of Science")</f>
        <v>View Full Record in Web of Science</v>
      </c>
    </row>
    <row r="275" spans="1:72" x14ac:dyDescent="0.15">
      <c r="A275" t="s">
        <v>72</v>
      </c>
      <c r="B275" t="s">
        <v>4691</v>
      </c>
      <c r="C275" t="s">
        <v>74</v>
      </c>
      <c r="D275" t="s">
        <v>74</v>
      </c>
      <c r="E275" t="s">
        <v>74</v>
      </c>
      <c r="F275" t="s">
        <v>4692</v>
      </c>
      <c r="G275" t="s">
        <v>74</v>
      </c>
      <c r="H275" t="s">
        <v>74</v>
      </c>
      <c r="I275" t="s">
        <v>4693</v>
      </c>
      <c r="J275" t="s">
        <v>130</v>
      </c>
      <c r="K275" t="s">
        <v>74</v>
      </c>
      <c r="L275" t="s">
        <v>74</v>
      </c>
      <c r="M275" t="s">
        <v>78</v>
      </c>
      <c r="N275" t="s">
        <v>79</v>
      </c>
      <c r="O275" t="s">
        <v>74</v>
      </c>
      <c r="P275" t="s">
        <v>74</v>
      </c>
      <c r="Q275" t="s">
        <v>74</v>
      </c>
      <c r="R275" t="s">
        <v>74</v>
      </c>
      <c r="S275" t="s">
        <v>74</v>
      </c>
      <c r="T275" t="s">
        <v>74</v>
      </c>
      <c r="U275" t="s">
        <v>4694</v>
      </c>
      <c r="V275" t="s">
        <v>4695</v>
      </c>
      <c r="W275" t="s">
        <v>4696</v>
      </c>
      <c r="X275" t="s">
        <v>1015</v>
      </c>
      <c r="Y275" t="s">
        <v>4697</v>
      </c>
      <c r="Z275" t="s">
        <v>4698</v>
      </c>
      <c r="AA275" t="s">
        <v>4699</v>
      </c>
      <c r="AB275" t="s">
        <v>4700</v>
      </c>
      <c r="AC275" t="s">
        <v>1125</v>
      </c>
      <c r="AD275" t="s">
        <v>361</v>
      </c>
      <c r="AE275" t="s">
        <v>74</v>
      </c>
      <c r="AF275" t="s">
        <v>74</v>
      </c>
      <c r="AG275">
        <v>25</v>
      </c>
      <c r="AH275">
        <v>123</v>
      </c>
      <c r="AI275">
        <v>130</v>
      </c>
      <c r="AJ275">
        <v>1</v>
      </c>
      <c r="AK275">
        <v>3</v>
      </c>
      <c r="AL275" t="s">
        <v>141</v>
      </c>
      <c r="AM275" t="s">
        <v>142</v>
      </c>
      <c r="AN275" t="s">
        <v>143</v>
      </c>
      <c r="AO275" t="s">
        <v>144</v>
      </c>
      <c r="AP275" t="s">
        <v>145</v>
      </c>
      <c r="AQ275" t="s">
        <v>74</v>
      </c>
      <c r="AR275" t="s">
        <v>146</v>
      </c>
      <c r="AS275" t="s">
        <v>147</v>
      </c>
      <c r="AT275" t="s">
        <v>4701</v>
      </c>
      <c r="AU275">
        <v>2007</v>
      </c>
      <c r="AV275">
        <v>34</v>
      </c>
      <c r="AW275">
        <v>11</v>
      </c>
      <c r="AX275" t="s">
        <v>74</v>
      </c>
      <c r="AY275" t="s">
        <v>74</v>
      </c>
      <c r="AZ275" t="s">
        <v>74</v>
      </c>
      <c r="BA275" t="s">
        <v>74</v>
      </c>
      <c r="BB275" t="s">
        <v>74</v>
      </c>
      <c r="BC275" t="s">
        <v>74</v>
      </c>
      <c r="BD275" t="s">
        <v>4702</v>
      </c>
      <c r="BE275" t="s">
        <v>4703</v>
      </c>
      <c r="BF275" t="str">
        <f>HYPERLINK("http://dx.doi.org/10.1029/2006GL029050","http://dx.doi.org/10.1029/2006GL029050")</f>
        <v>http://dx.doi.org/10.1029/2006GL029050</v>
      </c>
      <c r="BG275" t="s">
        <v>74</v>
      </c>
      <c r="BH275" t="s">
        <v>74</v>
      </c>
      <c r="BI275">
        <v>5</v>
      </c>
      <c r="BJ275" t="s">
        <v>151</v>
      </c>
      <c r="BK275" t="s">
        <v>98</v>
      </c>
      <c r="BL275" t="s">
        <v>152</v>
      </c>
      <c r="BM275" t="s">
        <v>4704</v>
      </c>
      <c r="BN275" t="s">
        <v>74</v>
      </c>
      <c r="BO275" t="s">
        <v>154</v>
      </c>
      <c r="BP275" t="s">
        <v>74</v>
      </c>
      <c r="BQ275" t="s">
        <v>74</v>
      </c>
      <c r="BR275" t="s">
        <v>101</v>
      </c>
      <c r="BS275" t="s">
        <v>4705</v>
      </c>
      <c r="BT275" t="str">
        <f>HYPERLINK("https%3A%2F%2Fwww.webofscience.com%2Fwos%2Fwoscc%2Ffull-record%2FWOS:000247140300001","View Full Record in Web of Science")</f>
        <v>View Full Record in Web of Science</v>
      </c>
    </row>
    <row r="276" spans="1:72" x14ac:dyDescent="0.15">
      <c r="A276" t="s">
        <v>72</v>
      </c>
      <c r="B276" t="s">
        <v>4706</v>
      </c>
      <c r="C276" t="s">
        <v>74</v>
      </c>
      <c r="D276" t="s">
        <v>74</v>
      </c>
      <c r="E276" t="s">
        <v>74</v>
      </c>
      <c r="F276" t="s">
        <v>4707</v>
      </c>
      <c r="G276" t="s">
        <v>74</v>
      </c>
      <c r="H276" t="s">
        <v>74</v>
      </c>
      <c r="I276" t="s">
        <v>4708</v>
      </c>
      <c r="J276" t="s">
        <v>2957</v>
      </c>
      <c r="K276" t="s">
        <v>74</v>
      </c>
      <c r="L276" t="s">
        <v>74</v>
      </c>
      <c r="M276" t="s">
        <v>78</v>
      </c>
      <c r="N276" t="s">
        <v>79</v>
      </c>
      <c r="O276" t="s">
        <v>74</v>
      </c>
      <c r="P276" t="s">
        <v>74</v>
      </c>
      <c r="Q276" t="s">
        <v>74</v>
      </c>
      <c r="R276" t="s">
        <v>74</v>
      </c>
      <c r="S276" t="s">
        <v>74</v>
      </c>
      <c r="T276" t="s">
        <v>74</v>
      </c>
      <c r="U276" t="s">
        <v>4709</v>
      </c>
      <c r="V276" t="s">
        <v>4710</v>
      </c>
      <c r="W276" t="s">
        <v>4711</v>
      </c>
      <c r="X276" t="s">
        <v>4712</v>
      </c>
      <c r="Y276" t="s">
        <v>4713</v>
      </c>
      <c r="Z276" t="s">
        <v>4714</v>
      </c>
      <c r="AA276" t="s">
        <v>4715</v>
      </c>
      <c r="AB276" t="s">
        <v>4716</v>
      </c>
      <c r="AC276" t="s">
        <v>74</v>
      </c>
      <c r="AD276" t="s">
        <v>74</v>
      </c>
      <c r="AE276" t="s">
        <v>74</v>
      </c>
      <c r="AF276" t="s">
        <v>74</v>
      </c>
      <c r="AG276">
        <v>42</v>
      </c>
      <c r="AH276">
        <v>50</v>
      </c>
      <c r="AI276">
        <v>54</v>
      </c>
      <c r="AJ276">
        <v>0</v>
      </c>
      <c r="AK276">
        <v>15</v>
      </c>
      <c r="AL276" t="s">
        <v>141</v>
      </c>
      <c r="AM276" t="s">
        <v>142</v>
      </c>
      <c r="AN276" t="s">
        <v>143</v>
      </c>
      <c r="AO276" t="s">
        <v>2966</v>
      </c>
      <c r="AP276" t="s">
        <v>2967</v>
      </c>
      <c r="AQ276" t="s">
        <v>74</v>
      </c>
      <c r="AR276" t="s">
        <v>2968</v>
      </c>
      <c r="AS276" t="s">
        <v>2969</v>
      </c>
      <c r="AT276" t="s">
        <v>4717</v>
      </c>
      <c r="AU276">
        <v>2007</v>
      </c>
      <c r="AV276">
        <v>112</v>
      </c>
      <c r="AW276" t="s">
        <v>4462</v>
      </c>
      <c r="AX276" t="s">
        <v>74</v>
      </c>
      <c r="AY276" t="s">
        <v>74</v>
      </c>
      <c r="AZ276" t="s">
        <v>74</v>
      </c>
      <c r="BA276" t="s">
        <v>74</v>
      </c>
      <c r="BB276" t="s">
        <v>74</v>
      </c>
      <c r="BC276" t="s">
        <v>74</v>
      </c>
      <c r="BD276" t="s">
        <v>4718</v>
      </c>
      <c r="BE276" t="s">
        <v>4719</v>
      </c>
      <c r="BF276" t="str">
        <f>HYPERLINK("http://dx.doi.org/10.1029/2005JF000429","http://dx.doi.org/10.1029/2005JF000429")</f>
        <v>http://dx.doi.org/10.1029/2005JF000429</v>
      </c>
      <c r="BG276" t="s">
        <v>74</v>
      </c>
      <c r="BH276" t="s">
        <v>74</v>
      </c>
      <c r="BI276">
        <v>11</v>
      </c>
      <c r="BJ276" t="s">
        <v>151</v>
      </c>
      <c r="BK276" t="s">
        <v>98</v>
      </c>
      <c r="BL276" t="s">
        <v>152</v>
      </c>
      <c r="BM276" t="s">
        <v>4720</v>
      </c>
      <c r="BN276" t="s">
        <v>74</v>
      </c>
      <c r="BO276" t="s">
        <v>3113</v>
      </c>
      <c r="BP276" t="s">
        <v>74</v>
      </c>
      <c r="BQ276" t="s">
        <v>74</v>
      </c>
      <c r="BR276" t="s">
        <v>101</v>
      </c>
      <c r="BS276" t="s">
        <v>4721</v>
      </c>
      <c r="BT276" t="str">
        <f>HYPERLINK("https%3A%2F%2Fwww.webofscience.com%2Fwos%2Fwoscc%2Ffull-record%2FWOS:000247141800001","View Full Record in Web of Science")</f>
        <v>View Full Record in Web of Science</v>
      </c>
    </row>
    <row r="277" spans="1:72" x14ac:dyDescent="0.15">
      <c r="A277" t="s">
        <v>72</v>
      </c>
      <c r="B277" t="s">
        <v>4722</v>
      </c>
      <c r="C277" t="s">
        <v>74</v>
      </c>
      <c r="D277" t="s">
        <v>74</v>
      </c>
      <c r="E277" t="s">
        <v>74</v>
      </c>
      <c r="F277" t="s">
        <v>4723</v>
      </c>
      <c r="G277" t="s">
        <v>74</v>
      </c>
      <c r="H277" t="s">
        <v>74</v>
      </c>
      <c r="I277" t="s">
        <v>4724</v>
      </c>
      <c r="J277" t="s">
        <v>309</v>
      </c>
      <c r="K277" t="s">
        <v>74</v>
      </c>
      <c r="L277" t="s">
        <v>74</v>
      </c>
      <c r="M277" t="s">
        <v>78</v>
      </c>
      <c r="N277" t="s">
        <v>620</v>
      </c>
      <c r="O277" t="s">
        <v>74</v>
      </c>
      <c r="P277" t="s">
        <v>74</v>
      </c>
      <c r="Q277" t="s">
        <v>74</v>
      </c>
      <c r="R277" t="s">
        <v>74</v>
      </c>
      <c r="S277" t="s">
        <v>74</v>
      </c>
      <c r="T277" t="s">
        <v>74</v>
      </c>
      <c r="U277" t="s">
        <v>4725</v>
      </c>
      <c r="V277" t="s">
        <v>74</v>
      </c>
      <c r="W277" t="s">
        <v>2067</v>
      </c>
      <c r="X277" t="s">
        <v>2068</v>
      </c>
      <c r="Y277" t="s">
        <v>4726</v>
      </c>
      <c r="Z277" t="s">
        <v>4727</v>
      </c>
      <c r="AA277" t="s">
        <v>74</v>
      </c>
      <c r="AB277" t="s">
        <v>74</v>
      </c>
      <c r="AC277" t="s">
        <v>74</v>
      </c>
      <c r="AD277" t="s">
        <v>74</v>
      </c>
      <c r="AE277" t="s">
        <v>74</v>
      </c>
      <c r="AF277" t="s">
        <v>74</v>
      </c>
      <c r="AG277">
        <v>8</v>
      </c>
      <c r="AH277">
        <v>4</v>
      </c>
      <c r="AI277">
        <v>6</v>
      </c>
      <c r="AJ277">
        <v>2</v>
      </c>
      <c r="AK277">
        <v>12</v>
      </c>
      <c r="AL277" t="s">
        <v>318</v>
      </c>
      <c r="AM277" t="s">
        <v>142</v>
      </c>
      <c r="AN277" t="s">
        <v>319</v>
      </c>
      <c r="AO277" t="s">
        <v>320</v>
      </c>
      <c r="AP277" t="s">
        <v>74</v>
      </c>
      <c r="AQ277" t="s">
        <v>74</v>
      </c>
      <c r="AR277" t="s">
        <v>309</v>
      </c>
      <c r="AS277" t="s">
        <v>321</v>
      </c>
      <c r="AT277" t="s">
        <v>4717</v>
      </c>
      <c r="AU277">
        <v>2007</v>
      </c>
      <c r="AV277">
        <v>316</v>
      </c>
      <c r="AW277">
        <v>5830</v>
      </c>
      <c r="AX277" t="s">
        <v>74</v>
      </c>
      <c r="AY277" t="s">
        <v>74</v>
      </c>
      <c r="AZ277" t="s">
        <v>74</v>
      </c>
      <c r="BA277" t="s">
        <v>74</v>
      </c>
      <c r="BB277">
        <v>1440</v>
      </c>
      <c r="BC277">
        <v>1441</v>
      </c>
      <c r="BD277" t="s">
        <v>74</v>
      </c>
      <c r="BE277" t="s">
        <v>4728</v>
      </c>
      <c r="BF277" t="str">
        <f>HYPERLINK("http://dx.doi.org/10.1126/science.1142326","http://dx.doi.org/10.1126/science.1142326")</f>
        <v>http://dx.doi.org/10.1126/science.1142326</v>
      </c>
      <c r="BG277" t="s">
        <v>74</v>
      </c>
      <c r="BH277" t="s">
        <v>74</v>
      </c>
      <c r="BI277">
        <v>2</v>
      </c>
      <c r="BJ277" t="s">
        <v>241</v>
      </c>
      <c r="BK277" t="s">
        <v>98</v>
      </c>
      <c r="BL277" t="s">
        <v>242</v>
      </c>
      <c r="BM277" t="s">
        <v>4729</v>
      </c>
      <c r="BN277">
        <v>17495137</v>
      </c>
      <c r="BO277" t="s">
        <v>154</v>
      </c>
      <c r="BP277" t="s">
        <v>74</v>
      </c>
      <c r="BQ277" t="s">
        <v>74</v>
      </c>
      <c r="BR277" t="s">
        <v>101</v>
      </c>
      <c r="BS277" t="s">
        <v>4730</v>
      </c>
      <c r="BT277" t="str">
        <f>HYPERLINK("https%3A%2F%2Fwww.webofscience.com%2Fwos%2Fwoscc%2Ffull-record%2FWOS:000247066400031","View Full Record in Web of Science")</f>
        <v>View Full Record in Web of Science</v>
      </c>
    </row>
    <row r="278" spans="1:72" x14ac:dyDescent="0.15">
      <c r="A278" t="s">
        <v>72</v>
      </c>
      <c r="B278" t="s">
        <v>4731</v>
      </c>
      <c r="C278" t="s">
        <v>74</v>
      </c>
      <c r="D278" t="s">
        <v>74</v>
      </c>
      <c r="E278" t="s">
        <v>74</v>
      </c>
      <c r="F278" t="s">
        <v>4732</v>
      </c>
      <c r="G278" t="s">
        <v>74</v>
      </c>
      <c r="H278" t="s">
        <v>74</v>
      </c>
      <c r="I278" t="s">
        <v>4733</v>
      </c>
      <c r="J278" t="s">
        <v>309</v>
      </c>
      <c r="K278" t="s">
        <v>74</v>
      </c>
      <c r="L278" t="s">
        <v>74</v>
      </c>
      <c r="M278" t="s">
        <v>78</v>
      </c>
      <c r="N278" t="s">
        <v>79</v>
      </c>
      <c r="O278" t="s">
        <v>74</v>
      </c>
      <c r="P278" t="s">
        <v>74</v>
      </c>
      <c r="Q278" t="s">
        <v>74</v>
      </c>
      <c r="R278" t="s">
        <v>74</v>
      </c>
      <c r="S278" t="s">
        <v>74</v>
      </c>
      <c r="T278" t="s">
        <v>74</v>
      </c>
      <c r="U278" t="s">
        <v>4734</v>
      </c>
      <c r="V278" t="s">
        <v>4735</v>
      </c>
      <c r="W278" t="s">
        <v>4736</v>
      </c>
      <c r="X278" t="s">
        <v>4737</v>
      </c>
      <c r="Y278" t="s">
        <v>4738</v>
      </c>
      <c r="Z278" t="s">
        <v>4739</v>
      </c>
      <c r="AA278" t="s">
        <v>4740</v>
      </c>
      <c r="AB278" t="s">
        <v>4741</v>
      </c>
      <c r="AC278" t="s">
        <v>74</v>
      </c>
      <c r="AD278" t="s">
        <v>74</v>
      </c>
      <c r="AE278" t="s">
        <v>74</v>
      </c>
      <c r="AF278" t="s">
        <v>74</v>
      </c>
      <c r="AG278">
        <v>38</v>
      </c>
      <c r="AH278">
        <v>223</v>
      </c>
      <c r="AI278">
        <v>261</v>
      </c>
      <c r="AJ278">
        <v>5</v>
      </c>
      <c r="AK278">
        <v>81</v>
      </c>
      <c r="AL278" t="s">
        <v>318</v>
      </c>
      <c r="AM278" t="s">
        <v>142</v>
      </c>
      <c r="AN278" t="s">
        <v>319</v>
      </c>
      <c r="AO278" t="s">
        <v>320</v>
      </c>
      <c r="AP278" t="s">
        <v>74</v>
      </c>
      <c r="AQ278" t="s">
        <v>74</v>
      </c>
      <c r="AR278" t="s">
        <v>309</v>
      </c>
      <c r="AS278" t="s">
        <v>321</v>
      </c>
      <c r="AT278" t="s">
        <v>4717</v>
      </c>
      <c r="AU278">
        <v>2007</v>
      </c>
      <c r="AV278">
        <v>316</v>
      </c>
      <c r="AW278">
        <v>5830</v>
      </c>
      <c r="AX278" t="s">
        <v>74</v>
      </c>
      <c r="AY278" t="s">
        <v>74</v>
      </c>
      <c r="AZ278" t="s">
        <v>74</v>
      </c>
      <c r="BA278" t="s">
        <v>74</v>
      </c>
      <c r="BB278">
        <v>1456</v>
      </c>
      <c r="BC278">
        <v>1459</v>
      </c>
      <c r="BD278" t="s">
        <v>74</v>
      </c>
      <c r="BE278" t="s">
        <v>4742</v>
      </c>
      <c r="BF278" t="str">
        <f>HYPERLINK("http://dx.doi.org/10.1126/science.1138679","http://dx.doi.org/10.1126/science.1138679")</f>
        <v>http://dx.doi.org/10.1126/science.1138679</v>
      </c>
      <c r="BG278" t="s">
        <v>74</v>
      </c>
      <c r="BH278" t="s">
        <v>74</v>
      </c>
      <c r="BI278">
        <v>4</v>
      </c>
      <c r="BJ278" t="s">
        <v>241</v>
      </c>
      <c r="BK278" t="s">
        <v>98</v>
      </c>
      <c r="BL278" t="s">
        <v>242</v>
      </c>
      <c r="BM278" t="s">
        <v>4729</v>
      </c>
      <c r="BN278">
        <v>17495139</v>
      </c>
      <c r="BO278" t="s">
        <v>74</v>
      </c>
      <c r="BP278" t="s">
        <v>74</v>
      </c>
      <c r="BQ278" t="s">
        <v>74</v>
      </c>
      <c r="BR278" t="s">
        <v>101</v>
      </c>
      <c r="BS278" t="s">
        <v>4743</v>
      </c>
      <c r="BT278" t="str">
        <f>HYPERLINK("https%3A%2F%2Fwww.webofscience.com%2Fwos%2Fwoscc%2Ffull-record%2FWOS:000247066400036","View Full Record in Web of Science")</f>
        <v>View Full Record in Web of Science</v>
      </c>
    </row>
    <row r="279" spans="1:72" x14ac:dyDescent="0.15">
      <c r="A279" t="s">
        <v>72</v>
      </c>
      <c r="B279" t="s">
        <v>4744</v>
      </c>
      <c r="C279" t="s">
        <v>74</v>
      </c>
      <c r="D279" t="s">
        <v>74</v>
      </c>
      <c r="E279" t="s">
        <v>74</v>
      </c>
      <c r="F279" t="s">
        <v>4745</v>
      </c>
      <c r="G279" t="s">
        <v>74</v>
      </c>
      <c r="H279" t="s">
        <v>74</v>
      </c>
      <c r="I279" t="s">
        <v>4746</v>
      </c>
      <c r="J279" t="s">
        <v>416</v>
      </c>
      <c r="K279" t="s">
        <v>74</v>
      </c>
      <c r="L279" t="s">
        <v>74</v>
      </c>
      <c r="M279" t="s">
        <v>78</v>
      </c>
      <c r="N279" t="s">
        <v>79</v>
      </c>
      <c r="O279" t="s">
        <v>74</v>
      </c>
      <c r="P279" t="s">
        <v>74</v>
      </c>
      <c r="Q279" t="s">
        <v>74</v>
      </c>
      <c r="R279" t="s">
        <v>74</v>
      </c>
      <c r="S279" t="s">
        <v>74</v>
      </c>
      <c r="T279" t="s">
        <v>74</v>
      </c>
      <c r="U279" t="s">
        <v>4747</v>
      </c>
      <c r="V279" t="s">
        <v>4748</v>
      </c>
      <c r="W279" t="s">
        <v>4749</v>
      </c>
      <c r="X279" t="s">
        <v>4750</v>
      </c>
      <c r="Y279" t="s">
        <v>4751</v>
      </c>
      <c r="Z279" t="s">
        <v>4752</v>
      </c>
      <c r="AA279" t="s">
        <v>4753</v>
      </c>
      <c r="AB279" t="s">
        <v>4754</v>
      </c>
      <c r="AC279" t="s">
        <v>1125</v>
      </c>
      <c r="AD279" t="s">
        <v>361</v>
      </c>
      <c r="AE279" t="s">
        <v>74</v>
      </c>
      <c r="AF279" t="s">
        <v>74</v>
      </c>
      <c r="AG279">
        <v>73</v>
      </c>
      <c r="AH279">
        <v>16</v>
      </c>
      <c r="AI279">
        <v>16</v>
      </c>
      <c r="AJ279">
        <v>0</v>
      </c>
      <c r="AK279">
        <v>1</v>
      </c>
      <c r="AL279" t="s">
        <v>141</v>
      </c>
      <c r="AM279" t="s">
        <v>142</v>
      </c>
      <c r="AN279" t="s">
        <v>143</v>
      </c>
      <c r="AO279" t="s">
        <v>427</v>
      </c>
      <c r="AP279" t="s">
        <v>428</v>
      </c>
      <c r="AQ279" t="s">
        <v>74</v>
      </c>
      <c r="AR279" t="s">
        <v>429</v>
      </c>
      <c r="AS279" t="s">
        <v>430</v>
      </c>
      <c r="AT279" t="s">
        <v>4755</v>
      </c>
      <c r="AU279">
        <v>2007</v>
      </c>
      <c r="AV279">
        <v>112</v>
      </c>
      <c r="AW279" t="s">
        <v>4756</v>
      </c>
      <c r="AX279" t="s">
        <v>74</v>
      </c>
      <c r="AY279" t="s">
        <v>74</v>
      </c>
      <c r="AZ279" t="s">
        <v>74</v>
      </c>
      <c r="BA279" t="s">
        <v>74</v>
      </c>
      <c r="BB279" t="s">
        <v>74</v>
      </c>
      <c r="BC279" t="s">
        <v>74</v>
      </c>
      <c r="BD279" t="s">
        <v>4757</v>
      </c>
      <c r="BE279" t="s">
        <v>4758</v>
      </c>
      <c r="BF279" t="str">
        <f>HYPERLINK("http://dx.doi.org/10.1029/2006JD007864","http://dx.doi.org/10.1029/2006JD007864")</f>
        <v>http://dx.doi.org/10.1029/2006JD007864</v>
      </c>
      <c r="BG279" t="s">
        <v>74</v>
      </c>
      <c r="BH279" t="s">
        <v>74</v>
      </c>
      <c r="BI279">
        <v>18</v>
      </c>
      <c r="BJ279" t="s">
        <v>435</v>
      </c>
      <c r="BK279" t="s">
        <v>98</v>
      </c>
      <c r="BL279" t="s">
        <v>435</v>
      </c>
      <c r="BM279" t="s">
        <v>4759</v>
      </c>
      <c r="BN279" t="s">
        <v>74</v>
      </c>
      <c r="BO279" t="s">
        <v>177</v>
      </c>
      <c r="BP279" t="s">
        <v>74</v>
      </c>
      <c r="BQ279" t="s">
        <v>74</v>
      </c>
      <c r="BR279" t="s">
        <v>101</v>
      </c>
      <c r="BS279" t="s">
        <v>4760</v>
      </c>
      <c r="BT279" t="str">
        <f>HYPERLINK("https%3A%2F%2Fwww.webofscience.com%2Fwos%2Fwoscc%2Ffull-record%2FWOS:000247140900005","View Full Record in Web of Science")</f>
        <v>View Full Record in Web of Science</v>
      </c>
    </row>
    <row r="280" spans="1:72" x14ac:dyDescent="0.15">
      <c r="A280" t="s">
        <v>72</v>
      </c>
      <c r="B280" t="s">
        <v>4761</v>
      </c>
      <c r="C280" t="s">
        <v>74</v>
      </c>
      <c r="D280" t="s">
        <v>74</v>
      </c>
      <c r="E280" t="s">
        <v>74</v>
      </c>
      <c r="F280" t="s">
        <v>4762</v>
      </c>
      <c r="G280" t="s">
        <v>74</v>
      </c>
      <c r="H280" t="s">
        <v>74</v>
      </c>
      <c r="I280" t="s">
        <v>4763</v>
      </c>
      <c r="J280" t="s">
        <v>2957</v>
      </c>
      <c r="K280" t="s">
        <v>74</v>
      </c>
      <c r="L280" t="s">
        <v>74</v>
      </c>
      <c r="M280" t="s">
        <v>78</v>
      </c>
      <c r="N280" t="s">
        <v>79</v>
      </c>
      <c r="O280" t="s">
        <v>74</v>
      </c>
      <c r="P280" t="s">
        <v>74</v>
      </c>
      <c r="Q280" t="s">
        <v>74</v>
      </c>
      <c r="R280" t="s">
        <v>74</v>
      </c>
      <c r="S280" t="s">
        <v>74</v>
      </c>
      <c r="T280" t="s">
        <v>74</v>
      </c>
      <c r="U280" t="s">
        <v>4764</v>
      </c>
      <c r="V280" t="s">
        <v>4765</v>
      </c>
      <c r="W280" t="s">
        <v>4766</v>
      </c>
      <c r="X280" t="s">
        <v>1988</v>
      </c>
      <c r="Y280" t="s">
        <v>4767</v>
      </c>
      <c r="Z280" t="s">
        <v>4768</v>
      </c>
      <c r="AA280" t="s">
        <v>4769</v>
      </c>
      <c r="AB280" t="s">
        <v>1889</v>
      </c>
      <c r="AC280" t="s">
        <v>4770</v>
      </c>
      <c r="AD280" t="s">
        <v>140</v>
      </c>
      <c r="AE280" t="s">
        <v>74</v>
      </c>
      <c r="AF280" t="s">
        <v>74</v>
      </c>
      <c r="AG280">
        <v>51</v>
      </c>
      <c r="AH280">
        <v>183</v>
      </c>
      <c r="AI280">
        <v>208</v>
      </c>
      <c r="AJ280">
        <v>0</v>
      </c>
      <c r="AK280">
        <v>40</v>
      </c>
      <c r="AL280" t="s">
        <v>141</v>
      </c>
      <c r="AM280" t="s">
        <v>142</v>
      </c>
      <c r="AN280" t="s">
        <v>143</v>
      </c>
      <c r="AO280" t="s">
        <v>2966</v>
      </c>
      <c r="AP280" t="s">
        <v>2967</v>
      </c>
      <c r="AQ280" t="s">
        <v>74</v>
      </c>
      <c r="AR280" t="s">
        <v>2968</v>
      </c>
      <c r="AS280" t="s">
        <v>2969</v>
      </c>
      <c r="AT280" t="s">
        <v>4771</v>
      </c>
      <c r="AU280">
        <v>2007</v>
      </c>
      <c r="AV280">
        <v>112</v>
      </c>
      <c r="AW280" t="s">
        <v>2971</v>
      </c>
      <c r="AX280" t="s">
        <v>74</v>
      </c>
      <c r="AY280" t="s">
        <v>74</v>
      </c>
      <c r="AZ280" t="s">
        <v>74</v>
      </c>
      <c r="BA280" t="s">
        <v>74</v>
      </c>
      <c r="BB280" t="s">
        <v>74</v>
      </c>
      <c r="BC280" t="s">
        <v>74</v>
      </c>
      <c r="BD280" t="s">
        <v>4772</v>
      </c>
      <c r="BE280" t="s">
        <v>4773</v>
      </c>
      <c r="BF280" t="str">
        <f>HYPERLINK("http://dx.doi.org/10.1029/2006JF000597","http://dx.doi.org/10.1029/2006JF000597")</f>
        <v>http://dx.doi.org/10.1029/2006JF000597</v>
      </c>
      <c r="BG280" t="s">
        <v>74</v>
      </c>
      <c r="BH280" t="s">
        <v>74</v>
      </c>
      <c r="BI280">
        <v>10</v>
      </c>
      <c r="BJ280" t="s">
        <v>151</v>
      </c>
      <c r="BK280" t="s">
        <v>98</v>
      </c>
      <c r="BL280" t="s">
        <v>152</v>
      </c>
      <c r="BM280" t="s">
        <v>4774</v>
      </c>
      <c r="BN280" t="s">
        <v>74</v>
      </c>
      <c r="BO280" t="s">
        <v>154</v>
      </c>
      <c r="BP280" t="s">
        <v>74</v>
      </c>
      <c r="BQ280" t="s">
        <v>74</v>
      </c>
      <c r="BR280" t="s">
        <v>101</v>
      </c>
      <c r="BS280" t="s">
        <v>4775</v>
      </c>
      <c r="BT280" t="str">
        <f>HYPERLINK("https%3A%2F%2Fwww.webofscience.com%2Fwos%2Fwoscc%2Ffull-record%2FWOS:000247141900001","View Full Record in Web of Science")</f>
        <v>View Full Record in Web of Science</v>
      </c>
    </row>
    <row r="281" spans="1:72" x14ac:dyDescent="0.15">
      <c r="A281" t="s">
        <v>72</v>
      </c>
      <c r="B281" t="s">
        <v>4776</v>
      </c>
      <c r="C281" t="s">
        <v>74</v>
      </c>
      <c r="D281" t="s">
        <v>74</v>
      </c>
      <c r="E281" t="s">
        <v>74</v>
      </c>
      <c r="F281" t="s">
        <v>4777</v>
      </c>
      <c r="G281" t="s">
        <v>74</v>
      </c>
      <c r="H281" t="s">
        <v>74</v>
      </c>
      <c r="I281" t="s">
        <v>4778</v>
      </c>
      <c r="J281" t="s">
        <v>416</v>
      </c>
      <c r="K281" t="s">
        <v>74</v>
      </c>
      <c r="L281" t="s">
        <v>74</v>
      </c>
      <c r="M281" t="s">
        <v>78</v>
      </c>
      <c r="N281" t="s">
        <v>79</v>
      </c>
      <c r="O281" t="s">
        <v>74</v>
      </c>
      <c r="P281" t="s">
        <v>74</v>
      </c>
      <c r="Q281" t="s">
        <v>74</v>
      </c>
      <c r="R281" t="s">
        <v>74</v>
      </c>
      <c r="S281" t="s">
        <v>74</v>
      </c>
      <c r="T281" t="s">
        <v>74</v>
      </c>
      <c r="U281" t="s">
        <v>4779</v>
      </c>
      <c r="V281" t="s">
        <v>4780</v>
      </c>
      <c r="W281" t="s">
        <v>4781</v>
      </c>
      <c r="X281" t="s">
        <v>4782</v>
      </c>
      <c r="Y281" t="s">
        <v>4783</v>
      </c>
      <c r="Z281" t="s">
        <v>4784</v>
      </c>
      <c r="AA281" t="s">
        <v>4785</v>
      </c>
      <c r="AB281" t="s">
        <v>4786</v>
      </c>
      <c r="AC281" t="s">
        <v>74</v>
      </c>
      <c r="AD281" t="s">
        <v>74</v>
      </c>
      <c r="AE281" t="s">
        <v>74</v>
      </c>
      <c r="AF281" t="s">
        <v>74</v>
      </c>
      <c r="AG281">
        <v>28</v>
      </c>
      <c r="AH281">
        <v>24</v>
      </c>
      <c r="AI281">
        <v>25</v>
      </c>
      <c r="AJ281">
        <v>0</v>
      </c>
      <c r="AK281">
        <v>4</v>
      </c>
      <c r="AL281" t="s">
        <v>141</v>
      </c>
      <c r="AM281" t="s">
        <v>142</v>
      </c>
      <c r="AN281" t="s">
        <v>143</v>
      </c>
      <c r="AO281" t="s">
        <v>427</v>
      </c>
      <c r="AP281" t="s">
        <v>428</v>
      </c>
      <c r="AQ281" t="s">
        <v>74</v>
      </c>
      <c r="AR281" t="s">
        <v>429</v>
      </c>
      <c r="AS281" t="s">
        <v>430</v>
      </c>
      <c r="AT281" t="s">
        <v>4787</v>
      </c>
      <c r="AU281">
        <v>2007</v>
      </c>
      <c r="AV281">
        <v>112</v>
      </c>
      <c r="AW281" t="s">
        <v>4756</v>
      </c>
      <c r="AX281" t="s">
        <v>74</v>
      </c>
      <c r="AY281" t="s">
        <v>74</v>
      </c>
      <c r="AZ281" t="s">
        <v>74</v>
      </c>
      <c r="BA281" t="s">
        <v>74</v>
      </c>
      <c r="BB281" t="s">
        <v>74</v>
      </c>
      <c r="BC281" t="s">
        <v>74</v>
      </c>
      <c r="BD281" t="s">
        <v>4788</v>
      </c>
      <c r="BE281" t="s">
        <v>4789</v>
      </c>
      <c r="BF281" t="str">
        <f>HYPERLINK("http://dx.doi.org/10.1029/2006JD007860","http://dx.doi.org/10.1029/2006JD007860")</f>
        <v>http://dx.doi.org/10.1029/2006JD007860</v>
      </c>
      <c r="BG281" t="s">
        <v>74</v>
      </c>
      <c r="BH281" t="s">
        <v>74</v>
      </c>
      <c r="BI281">
        <v>9</v>
      </c>
      <c r="BJ281" t="s">
        <v>435</v>
      </c>
      <c r="BK281" t="s">
        <v>98</v>
      </c>
      <c r="BL281" t="s">
        <v>435</v>
      </c>
      <c r="BM281" t="s">
        <v>4790</v>
      </c>
      <c r="BN281" t="s">
        <v>74</v>
      </c>
      <c r="BO281" t="s">
        <v>154</v>
      </c>
      <c r="BP281" t="s">
        <v>74</v>
      </c>
      <c r="BQ281" t="s">
        <v>74</v>
      </c>
      <c r="BR281" t="s">
        <v>101</v>
      </c>
      <c r="BS281" t="s">
        <v>4791</v>
      </c>
      <c r="BT281" t="str">
        <f>HYPERLINK("https%3A%2F%2Fwww.webofscience.com%2Fwos%2Fwoscc%2Ffull-record%2FWOS:000247140700003","View Full Record in Web of Science")</f>
        <v>View Full Record in Web of Science</v>
      </c>
    </row>
    <row r="282" spans="1:72" x14ac:dyDescent="0.15">
      <c r="A282" t="s">
        <v>72</v>
      </c>
      <c r="B282" t="s">
        <v>4792</v>
      </c>
      <c r="C282" t="s">
        <v>74</v>
      </c>
      <c r="D282" t="s">
        <v>74</v>
      </c>
      <c r="E282" t="s">
        <v>74</v>
      </c>
      <c r="F282" t="s">
        <v>4793</v>
      </c>
      <c r="G282" t="s">
        <v>74</v>
      </c>
      <c r="H282" t="s">
        <v>74</v>
      </c>
      <c r="I282" t="s">
        <v>4794</v>
      </c>
      <c r="J282" t="s">
        <v>582</v>
      </c>
      <c r="K282" t="s">
        <v>74</v>
      </c>
      <c r="L282" t="s">
        <v>74</v>
      </c>
      <c r="M282" t="s">
        <v>78</v>
      </c>
      <c r="N282" t="s">
        <v>79</v>
      </c>
      <c r="O282" t="s">
        <v>74</v>
      </c>
      <c r="P282" t="s">
        <v>74</v>
      </c>
      <c r="Q282" t="s">
        <v>74</v>
      </c>
      <c r="R282" t="s">
        <v>74</v>
      </c>
      <c r="S282" t="s">
        <v>74</v>
      </c>
      <c r="T282" t="s">
        <v>4795</v>
      </c>
      <c r="U282" t="s">
        <v>4796</v>
      </c>
      <c r="V282" t="s">
        <v>4797</v>
      </c>
      <c r="W282" t="s">
        <v>4798</v>
      </c>
      <c r="X282" t="s">
        <v>3744</v>
      </c>
      <c r="Y282" t="s">
        <v>4799</v>
      </c>
      <c r="Z282" t="s">
        <v>4800</v>
      </c>
      <c r="AA282" t="s">
        <v>4801</v>
      </c>
      <c r="AB282" t="s">
        <v>4802</v>
      </c>
      <c r="AC282" t="s">
        <v>74</v>
      </c>
      <c r="AD282" t="s">
        <v>74</v>
      </c>
      <c r="AE282" t="s">
        <v>74</v>
      </c>
      <c r="AF282" t="s">
        <v>74</v>
      </c>
      <c r="AG282">
        <v>41</v>
      </c>
      <c r="AH282">
        <v>28</v>
      </c>
      <c r="AI282">
        <v>31</v>
      </c>
      <c r="AJ282">
        <v>1</v>
      </c>
      <c r="AK282">
        <v>9</v>
      </c>
      <c r="AL282" t="s">
        <v>272</v>
      </c>
      <c r="AM282" t="s">
        <v>273</v>
      </c>
      <c r="AN282" t="s">
        <v>274</v>
      </c>
      <c r="AO282" t="s">
        <v>594</v>
      </c>
      <c r="AP282" t="s">
        <v>614</v>
      </c>
      <c r="AQ282" t="s">
        <v>74</v>
      </c>
      <c r="AR282" t="s">
        <v>595</v>
      </c>
      <c r="AS282" t="s">
        <v>596</v>
      </c>
      <c r="AT282" t="s">
        <v>4787</v>
      </c>
      <c r="AU282">
        <v>2007</v>
      </c>
      <c r="AV282">
        <v>240</v>
      </c>
      <c r="AW282" t="s">
        <v>4803</v>
      </c>
      <c r="AX282" t="s">
        <v>74</v>
      </c>
      <c r="AY282" t="s">
        <v>74</v>
      </c>
      <c r="AZ282" t="s">
        <v>74</v>
      </c>
      <c r="BA282" t="s">
        <v>74</v>
      </c>
      <c r="BB282">
        <v>99</v>
      </c>
      <c r="BC282">
        <v>111</v>
      </c>
      <c r="BD282" t="s">
        <v>74</v>
      </c>
      <c r="BE282" t="s">
        <v>4804</v>
      </c>
      <c r="BF282" t="str">
        <f>HYPERLINK("http://dx.doi.org/10.1016/j.margeo.2007.02.015","http://dx.doi.org/10.1016/j.margeo.2007.02.015")</f>
        <v>http://dx.doi.org/10.1016/j.margeo.2007.02.015</v>
      </c>
      <c r="BG282" t="s">
        <v>74</v>
      </c>
      <c r="BH282" t="s">
        <v>74</v>
      </c>
      <c r="BI282">
        <v>13</v>
      </c>
      <c r="BJ282" t="s">
        <v>598</v>
      </c>
      <c r="BK282" t="s">
        <v>98</v>
      </c>
      <c r="BL282" t="s">
        <v>599</v>
      </c>
      <c r="BM282" t="s">
        <v>4805</v>
      </c>
      <c r="BN282" t="s">
        <v>74</v>
      </c>
      <c r="BO282" t="s">
        <v>74</v>
      </c>
      <c r="BP282" t="s">
        <v>74</v>
      </c>
      <c r="BQ282" t="s">
        <v>74</v>
      </c>
      <c r="BR282" t="s">
        <v>101</v>
      </c>
      <c r="BS282" t="s">
        <v>4806</v>
      </c>
      <c r="BT282" t="str">
        <f>HYPERLINK("https%3A%2F%2Fwww.webofscience.com%2Fwos%2Fwoscc%2Ffull-record%2FWOS:000247233200007","View Full Record in Web of Science")</f>
        <v>View Full Record in Web of Science</v>
      </c>
    </row>
    <row r="283" spans="1:72" x14ac:dyDescent="0.15">
      <c r="A283" t="s">
        <v>72</v>
      </c>
      <c r="B283" t="s">
        <v>4807</v>
      </c>
      <c r="C283" t="s">
        <v>74</v>
      </c>
      <c r="D283" t="s">
        <v>74</v>
      </c>
      <c r="E283" t="s">
        <v>74</v>
      </c>
      <c r="F283" t="s">
        <v>4808</v>
      </c>
      <c r="G283" t="s">
        <v>74</v>
      </c>
      <c r="H283" t="s">
        <v>74</v>
      </c>
      <c r="I283" t="s">
        <v>4809</v>
      </c>
      <c r="J283" t="s">
        <v>159</v>
      </c>
      <c r="K283" t="s">
        <v>74</v>
      </c>
      <c r="L283" t="s">
        <v>74</v>
      </c>
      <c r="M283" t="s">
        <v>78</v>
      </c>
      <c r="N283" t="s">
        <v>79</v>
      </c>
      <c r="O283" t="s">
        <v>74</v>
      </c>
      <c r="P283" t="s">
        <v>74</v>
      </c>
      <c r="Q283" t="s">
        <v>74</v>
      </c>
      <c r="R283" t="s">
        <v>74</v>
      </c>
      <c r="S283" t="s">
        <v>74</v>
      </c>
      <c r="T283" t="s">
        <v>74</v>
      </c>
      <c r="U283" t="s">
        <v>4810</v>
      </c>
      <c r="V283" t="s">
        <v>4811</v>
      </c>
      <c r="W283" t="s">
        <v>1014</v>
      </c>
      <c r="X283" t="s">
        <v>1015</v>
      </c>
      <c r="Y283" t="s">
        <v>4812</v>
      </c>
      <c r="Z283" t="s">
        <v>4813</v>
      </c>
      <c r="AA283" t="s">
        <v>4814</v>
      </c>
      <c r="AB283" t="s">
        <v>4815</v>
      </c>
      <c r="AC283" t="s">
        <v>1125</v>
      </c>
      <c r="AD283" t="s">
        <v>361</v>
      </c>
      <c r="AE283" t="s">
        <v>74</v>
      </c>
      <c r="AF283" t="s">
        <v>74</v>
      </c>
      <c r="AG283">
        <v>51</v>
      </c>
      <c r="AH283">
        <v>90</v>
      </c>
      <c r="AI283">
        <v>102</v>
      </c>
      <c r="AJ283">
        <v>1</v>
      </c>
      <c r="AK283">
        <v>8</v>
      </c>
      <c r="AL283" t="s">
        <v>141</v>
      </c>
      <c r="AM283" t="s">
        <v>142</v>
      </c>
      <c r="AN283" t="s">
        <v>143</v>
      </c>
      <c r="AO283" t="s">
        <v>168</v>
      </c>
      <c r="AP283" t="s">
        <v>169</v>
      </c>
      <c r="AQ283" t="s">
        <v>74</v>
      </c>
      <c r="AR283" t="s">
        <v>170</v>
      </c>
      <c r="AS283" t="s">
        <v>171</v>
      </c>
      <c r="AT283" t="s">
        <v>4816</v>
      </c>
      <c r="AU283">
        <v>2007</v>
      </c>
      <c r="AV283">
        <v>112</v>
      </c>
      <c r="AW283" t="s">
        <v>4817</v>
      </c>
      <c r="AX283" t="s">
        <v>74</v>
      </c>
      <c r="AY283" t="s">
        <v>74</v>
      </c>
      <c r="AZ283" t="s">
        <v>74</v>
      </c>
      <c r="BA283" t="s">
        <v>74</v>
      </c>
      <c r="BB283" t="s">
        <v>74</v>
      </c>
      <c r="BC283" t="s">
        <v>74</v>
      </c>
      <c r="BD283" t="s">
        <v>4818</v>
      </c>
      <c r="BE283" t="s">
        <v>4819</v>
      </c>
      <c r="BF283" t="str">
        <f>HYPERLINK("http://dx.doi.org/10.1029/2006JA012176","http://dx.doi.org/10.1029/2006JA012176")</f>
        <v>http://dx.doi.org/10.1029/2006JA012176</v>
      </c>
      <c r="BG283" t="s">
        <v>74</v>
      </c>
      <c r="BH283" t="s">
        <v>74</v>
      </c>
      <c r="BI283">
        <v>11</v>
      </c>
      <c r="BJ283" t="s">
        <v>175</v>
      </c>
      <c r="BK283" t="s">
        <v>98</v>
      </c>
      <c r="BL283" t="s">
        <v>175</v>
      </c>
      <c r="BM283" t="s">
        <v>4820</v>
      </c>
      <c r="BN283" t="s">
        <v>74</v>
      </c>
      <c r="BO283" t="s">
        <v>833</v>
      </c>
      <c r="BP283" t="s">
        <v>74</v>
      </c>
      <c r="BQ283" t="s">
        <v>74</v>
      </c>
      <c r="BR283" t="s">
        <v>101</v>
      </c>
      <c r="BS283" t="s">
        <v>4821</v>
      </c>
      <c r="BT283" t="str">
        <f>HYPERLINK("https%3A%2F%2Fwww.webofscience.com%2Fwos%2Fwoscc%2Ffull-record%2FWOS:000246952000008","View Full Record in Web of Science")</f>
        <v>View Full Record in Web of Science</v>
      </c>
    </row>
    <row r="284" spans="1:72" x14ac:dyDescent="0.15">
      <c r="A284" t="s">
        <v>72</v>
      </c>
      <c r="B284" t="s">
        <v>4822</v>
      </c>
      <c r="C284" t="s">
        <v>74</v>
      </c>
      <c r="D284" t="s">
        <v>74</v>
      </c>
      <c r="E284" t="s">
        <v>74</v>
      </c>
      <c r="F284" t="s">
        <v>4823</v>
      </c>
      <c r="G284" t="s">
        <v>74</v>
      </c>
      <c r="H284" t="s">
        <v>74</v>
      </c>
      <c r="I284" t="s">
        <v>4824</v>
      </c>
      <c r="J284" t="s">
        <v>4825</v>
      </c>
      <c r="K284" t="s">
        <v>74</v>
      </c>
      <c r="L284" t="s">
        <v>74</v>
      </c>
      <c r="M284" t="s">
        <v>78</v>
      </c>
      <c r="N284" t="s">
        <v>79</v>
      </c>
      <c r="O284" t="s">
        <v>74</v>
      </c>
      <c r="P284" t="s">
        <v>74</v>
      </c>
      <c r="Q284" t="s">
        <v>74</v>
      </c>
      <c r="R284" t="s">
        <v>74</v>
      </c>
      <c r="S284" t="s">
        <v>74</v>
      </c>
      <c r="T284" t="s">
        <v>4826</v>
      </c>
      <c r="U284" t="s">
        <v>4827</v>
      </c>
      <c r="V284" t="s">
        <v>4828</v>
      </c>
      <c r="W284" t="s">
        <v>4829</v>
      </c>
      <c r="X284" t="s">
        <v>1988</v>
      </c>
      <c r="Y284" t="s">
        <v>4830</v>
      </c>
      <c r="Z284" t="s">
        <v>1990</v>
      </c>
      <c r="AA284" t="s">
        <v>74</v>
      </c>
      <c r="AB284" t="s">
        <v>1991</v>
      </c>
      <c r="AC284" t="s">
        <v>4831</v>
      </c>
      <c r="AD284" t="s">
        <v>361</v>
      </c>
      <c r="AE284" t="s">
        <v>74</v>
      </c>
      <c r="AF284" t="s">
        <v>74</v>
      </c>
      <c r="AG284">
        <v>38</v>
      </c>
      <c r="AH284">
        <v>10</v>
      </c>
      <c r="AI284">
        <v>11</v>
      </c>
      <c r="AJ284">
        <v>1</v>
      </c>
      <c r="AK284">
        <v>11</v>
      </c>
      <c r="AL284" t="s">
        <v>4832</v>
      </c>
      <c r="AM284" t="s">
        <v>4833</v>
      </c>
      <c r="AN284" t="s">
        <v>4834</v>
      </c>
      <c r="AO284" t="s">
        <v>4835</v>
      </c>
      <c r="AP284" t="s">
        <v>4836</v>
      </c>
      <c r="AQ284" t="s">
        <v>74</v>
      </c>
      <c r="AR284" t="s">
        <v>4837</v>
      </c>
      <c r="AS284" t="s">
        <v>4838</v>
      </c>
      <c r="AT284" t="s">
        <v>4839</v>
      </c>
      <c r="AU284">
        <v>2007</v>
      </c>
      <c r="AV284">
        <v>292</v>
      </c>
      <c r="AW284">
        <v>6</v>
      </c>
      <c r="AX284" t="s">
        <v>74</v>
      </c>
      <c r="AY284" t="s">
        <v>74</v>
      </c>
      <c r="AZ284" t="s">
        <v>74</v>
      </c>
      <c r="BA284" t="s">
        <v>74</v>
      </c>
      <c r="BB284" t="s">
        <v>4840</v>
      </c>
      <c r="BC284" t="s">
        <v>4841</v>
      </c>
      <c r="BD284" t="s">
        <v>74</v>
      </c>
      <c r="BE284" t="s">
        <v>4842</v>
      </c>
      <c r="BF284" t="str">
        <f>HYPERLINK("http://dx.doi.org/10.1152/ajpregu.00350.2006","http://dx.doi.org/10.1152/ajpregu.00350.2006")</f>
        <v>http://dx.doi.org/10.1152/ajpregu.00350.2006</v>
      </c>
      <c r="BG284" t="s">
        <v>74</v>
      </c>
      <c r="BH284" t="s">
        <v>74</v>
      </c>
      <c r="BI284">
        <v>9</v>
      </c>
      <c r="BJ284" t="s">
        <v>4843</v>
      </c>
      <c r="BK284" t="s">
        <v>98</v>
      </c>
      <c r="BL284" t="s">
        <v>4843</v>
      </c>
      <c r="BM284" t="s">
        <v>4844</v>
      </c>
      <c r="BN284">
        <v>17545303</v>
      </c>
      <c r="BO284" t="s">
        <v>74</v>
      </c>
      <c r="BP284" t="s">
        <v>74</v>
      </c>
      <c r="BQ284" t="s">
        <v>74</v>
      </c>
      <c r="BR284" t="s">
        <v>101</v>
      </c>
      <c r="BS284" t="s">
        <v>4845</v>
      </c>
      <c r="BT284" t="str">
        <f>HYPERLINK("https%3A%2F%2Fwww.webofscience.com%2Fwos%2Fwoscc%2Ffull-record%2FWOS:000247725300022","View Full Record in Web of Science")</f>
        <v>View Full Record in Web of Science</v>
      </c>
    </row>
    <row r="285" spans="1:72" x14ac:dyDescent="0.15">
      <c r="A285" t="s">
        <v>72</v>
      </c>
      <c r="B285" t="s">
        <v>4846</v>
      </c>
      <c r="C285" t="s">
        <v>74</v>
      </c>
      <c r="D285" t="s">
        <v>74</v>
      </c>
      <c r="E285" t="s">
        <v>74</v>
      </c>
      <c r="F285" t="s">
        <v>4847</v>
      </c>
      <c r="G285" t="s">
        <v>74</v>
      </c>
      <c r="H285" t="s">
        <v>74</v>
      </c>
      <c r="I285" t="s">
        <v>4848</v>
      </c>
      <c r="J285" t="s">
        <v>4849</v>
      </c>
      <c r="K285" t="s">
        <v>74</v>
      </c>
      <c r="L285" t="s">
        <v>74</v>
      </c>
      <c r="M285" t="s">
        <v>78</v>
      </c>
      <c r="N285" t="s">
        <v>620</v>
      </c>
      <c r="O285" t="s">
        <v>74</v>
      </c>
      <c r="P285" t="s">
        <v>74</v>
      </c>
      <c r="Q285" t="s">
        <v>74</v>
      </c>
      <c r="R285" t="s">
        <v>74</v>
      </c>
      <c r="S285" t="s">
        <v>74</v>
      </c>
      <c r="T285" t="s">
        <v>74</v>
      </c>
      <c r="U285" t="s">
        <v>74</v>
      </c>
      <c r="V285" t="s">
        <v>74</v>
      </c>
      <c r="W285" t="s">
        <v>74</v>
      </c>
      <c r="X285" t="s">
        <v>74</v>
      </c>
      <c r="Y285" t="s">
        <v>74</v>
      </c>
      <c r="Z285" t="s">
        <v>74</v>
      </c>
      <c r="AA285" t="s">
        <v>74</v>
      </c>
      <c r="AB285" t="s">
        <v>4850</v>
      </c>
      <c r="AC285" t="s">
        <v>74</v>
      </c>
      <c r="AD285" t="s">
        <v>74</v>
      </c>
      <c r="AE285" t="s">
        <v>74</v>
      </c>
      <c r="AF285" t="s">
        <v>74</v>
      </c>
      <c r="AG285">
        <v>0</v>
      </c>
      <c r="AH285">
        <v>0</v>
      </c>
      <c r="AI285">
        <v>0</v>
      </c>
      <c r="AJ285">
        <v>0</v>
      </c>
      <c r="AK285">
        <v>1</v>
      </c>
      <c r="AL285" t="s">
        <v>4219</v>
      </c>
      <c r="AM285" t="s">
        <v>1593</v>
      </c>
      <c r="AN285" t="s">
        <v>4220</v>
      </c>
      <c r="AO285" t="s">
        <v>4851</v>
      </c>
      <c r="AP285" t="s">
        <v>74</v>
      </c>
      <c r="AQ285" t="s">
        <v>74</v>
      </c>
      <c r="AR285" t="s">
        <v>4852</v>
      </c>
      <c r="AS285" t="s">
        <v>4853</v>
      </c>
      <c r="AT285" t="s">
        <v>4839</v>
      </c>
      <c r="AU285">
        <v>2007</v>
      </c>
      <c r="AV285">
        <v>19</v>
      </c>
      <c r="AW285">
        <v>2</v>
      </c>
      <c r="AX285" t="s">
        <v>74</v>
      </c>
      <c r="AY285" t="s">
        <v>74</v>
      </c>
      <c r="AZ285" t="s">
        <v>74</v>
      </c>
      <c r="BA285" t="s">
        <v>74</v>
      </c>
      <c r="BB285">
        <v>145</v>
      </c>
      <c r="BC285">
        <v>145</v>
      </c>
      <c r="BD285" t="s">
        <v>74</v>
      </c>
      <c r="BE285" t="s">
        <v>4854</v>
      </c>
      <c r="BF285" t="str">
        <f>HYPERLINK("http://dx.doi.org/10.1017/S0954102007000375","http://dx.doi.org/10.1017/S0954102007000375")</f>
        <v>http://dx.doi.org/10.1017/S0954102007000375</v>
      </c>
      <c r="BG285" t="s">
        <v>74</v>
      </c>
      <c r="BH285" t="s">
        <v>74</v>
      </c>
      <c r="BI285">
        <v>1</v>
      </c>
      <c r="BJ285" t="s">
        <v>4855</v>
      </c>
      <c r="BK285" t="s">
        <v>98</v>
      </c>
      <c r="BL285" t="s">
        <v>4856</v>
      </c>
      <c r="BM285" t="s">
        <v>4857</v>
      </c>
      <c r="BN285" t="s">
        <v>74</v>
      </c>
      <c r="BO285" t="s">
        <v>154</v>
      </c>
      <c r="BP285" t="s">
        <v>74</v>
      </c>
      <c r="BQ285" t="s">
        <v>74</v>
      </c>
      <c r="BR285" t="s">
        <v>101</v>
      </c>
      <c r="BS285" t="s">
        <v>4858</v>
      </c>
      <c r="BT285" t="str">
        <f>HYPERLINK("https%3A%2F%2Fwww.webofscience.com%2Fwos%2Fwoscc%2Ffull-record%2FWOS:000247196900001","View Full Record in Web of Science")</f>
        <v>View Full Record in Web of Science</v>
      </c>
    </row>
    <row r="286" spans="1:72" x14ac:dyDescent="0.15">
      <c r="A286" t="s">
        <v>72</v>
      </c>
      <c r="B286" t="s">
        <v>4859</v>
      </c>
      <c r="C286" t="s">
        <v>74</v>
      </c>
      <c r="D286" t="s">
        <v>74</v>
      </c>
      <c r="E286" t="s">
        <v>74</v>
      </c>
      <c r="F286" t="s">
        <v>4860</v>
      </c>
      <c r="G286" t="s">
        <v>74</v>
      </c>
      <c r="H286" t="s">
        <v>74</v>
      </c>
      <c r="I286" t="s">
        <v>4861</v>
      </c>
      <c r="J286" t="s">
        <v>4849</v>
      </c>
      <c r="K286" t="s">
        <v>74</v>
      </c>
      <c r="L286" t="s">
        <v>74</v>
      </c>
      <c r="M286" t="s">
        <v>78</v>
      </c>
      <c r="N286" t="s">
        <v>620</v>
      </c>
      <c r="O286" t="s">
        <v>74</v>
      </c>
      <c r="P286" t="s">
        <v>74</v>
      </c>
      <c r="Q286" t="s">
        <v>74</v>
      </c>
      <c r="R286" t="s">
        <v>74</v>
      </c>
      <c r="S286" t="s">
        <v>74</v>
      </c>
      <c r="T286" t="s">
        <v>74</v>
      </c>
      <c r="U286" t="s">
        <v>74</v>
      </c>
      <c r="V286" t="s">
        <v>74</v>
      </c>
      <c r="W286" t="s">
        <v>74</v>
      </c>
      <c r="X286" t="s">
        <v>74</v>
      </c>
      <c r="Y286" t="s">
        <v>74</v>
      </c>
      <c r="Z286" t="s">
        <v>74</v>
      </c>
      <c r="AA286" t="s">
        <v>74</v>
      </c>
      <c r="AB286" t="s">
        <v>74</v>
      </c>
      <c r="AC286" t="s">
        <v>74</v>
      </c>
      <c r="AD286" t="s">
        <v>74</v>
      </c>
      <c r="AE286" t="s">
        <v>74</v>
      </c>
      <c r="AF286" t="s">
        <v>74</v>
      </c>
      <c r="AG286">
        <v>0</v>
      </c>
      <c r="AH286">
        <v>0</v>
      </c>
      <c r="AI286">
        <v>0</v>
      </c>
      <c r="AJ286">
        <v>0</v>
      </c>
      <c r="AK286">
        <v>1</v>
      </c>
      <c r="AL286" t="s">
        <v>4219</v>
      </c>
      <c r="AM286" t="s">
        <v>1593</v>
      </c>
      <c r="AN286" t="s">
        <v>4220</v>
      </c>
      <c r="AO286" t="s">
        <v>4851</v>
      </c>
      <c r="AP286" t="s">
        <v>74</v>
      </c>
      <c r="AQ286" t="s">
        <v>74</v>
      </c>
      <c r="AR286" t="s">
        <v>4852</v>
      </c>
      <c r="AS286" t="s">
        <v>4853</v>
      </c>
      <c r="AT286" t="s">
        <v>4839</v>
      </c>
      <c r="AU286">
        <v>2007</v>
      </c>
      <c r="AV286">
        <v>19</v>
      </c>
      <c r="AW286">
        <v>2</v>
      </c>
      <c r="AX286" t="s">
        <v>74</v>
      </c>
      <c r="AY286" t="s">
        <v>74</v>
      </c>
      <c r="AZ286" t="s">
        <v>74</v>
      </c>
      <c r="BA286" t="s">
        <v>74</v>
      </c>
      <c r="BB286">
        <v>147</v>
      </c>
      <c r="BC286">
        <v>148</v>
      </c>
      <c r="BD286" t="s">
        <v>74</v>
      </c>
      <c r="BE286" t="s">
        <v>4862</v>
      </c>
      <c r="BF286" t="str">
        <f>HYPERLINK("http://dx.doi.org/10.1017/S0954102007000387","http://dx.doi.org/10.1017/S0954102007000387")</f>
        <v>http://dx.doi.org/10.1017/S0954102007000387</v>
      </c>
      <c r="BG286" t="s">
        <v>74</v>
      </c>
      <c r="BH286" t="s">
        <v>74</v>
      </c>
      <c r="BI286">
        <v>2</v>
      </c>
      <c r="BJ286" t="s">
        <v>4855</v>
      </c>
      <c r="BK286" t="s">
        <v>98</v>
      </c>
      <c r="BL286" t="s">
        <v>4856</v>
      </c>
      <c r="BM286" t="s">
        <v>4857</v>
      </c>
      <c r="BN286" t="s">
        <v>74</v>
      </c>
      <c r="BO286" t="s">
        <v>74</v>
      </c>
      <c r="BP286" t="s">
        <v>74</v>
      </c>
      <c r="BQ286" t="s">
        <v>74</v>
      </c>
      <c r="BR286" t="s">
        <v>101</v>
      </c>
      <c r="BS286" t="s">
        <v>4863</v>
      </c>
      <c r="BT286" t="str">
        <f>HYPERLINK("https%3A%2F%2Fwww.webofscience.com%2Fwos%2Fwoscc%2Ffull-record%2FWOS:000247196900002","View Full Record in Web of Science")</f>
        <v>View Full Record in Web of Science</v>
      </c>
    </row>
    <row r="287" spans="1:72" x14ac:dyDescent="0.15">
      <c r="A287" t="s">
        <v>72</v>
      </c>
      <c r="B287" t="s">
        <v>4864</v>
      </c>
      <c r="C287" t="s">
        <v>74</v>
      </c>
      <c r="D287" t="s">
        <v>74</v>
      </c>
      <c r="E287" t="s">
        <v>74</v>
      </c>
      <c r="F287" t="s">
        <v>4865</v>
      </c>
      <c r="G287" t="s">
        <v>74</v>
      </c>
      <c r="H287" t="s">
        <v>74</v>
      </c>
      <c r="I287" t="s">
        <v>4866</v>
      </c>
      <c r="J287" t="s">
        <v>4849</v>
      </c>
      <c r="K287" t="s">
        <v>74</v>
      </c>
      <c r="L287" t="s">
        <v>74</v>
      </c>
      <c r="M287" t="s">
        <v>78</v>
      </c>
      <c r="N287" t="s">
        <v>514</v>
      </c>
      <c r="O287" t="s">
        <v>4867</v>
      </c>
      <c r="P287" t="s">
        <v>4868</v>
      </c>
      <c r="Q287" t="s">
        <v>4869</v>
      </c>
      <c r="R287" t="s">
        <v>74</v>
      </c>
      <c r="S287" t="s">
        <v>74</v>
      </c>
      <c r="T287" t="s">
        <v>4870</v>
      </c>
      <c r="U287" t="s">
        <v>4871</v>
      </c>
      <c r="V287" t="s">
        <v>4872</v>
      </c>
      <c r="W287" t="s">
        <v>4873</v>
      </c>
      <c r="X287" t="s">
        <v>4874</v>
      </c>
      <c r="Y287" t="s">
        <v>4875</v>
      </c>
      <c r="Z287" t="s">
        <v>4876</v>
      </c>
      <c r="AA287" t="s">
        <v>74</v>
      </c>
      <c r="AB287" t="s">
        <v>74</v>
      </c>
      <c r="AC287" t="s">
        <v>74</v>
      </c>
      <c r="AD287" t="s">
        <v>74</v>
      </c>
      <c r="AE287" t="s">
        <v>74</v>
      </c>
      <c r="AF287" t="s">
        <v>74</v>
      </c>
      <c r="AG287">
        <v>39</v>
      </c>
      <c r="AH287">
        <v>48</v>
      </c>
      <c r="AI287">
        <v>59</v>
      </c>
      <c r="AJ287">
        <v>0</v>
      </c>
      <c r="AK287">
        <v>21</v>
      </c>
      <c r="AL287" t="s">
        <v>4219</v>
      </c>
      <c r="AM287" t="s">
        <v>1593</v>
      </c>
      <c r="AN287" t="s">
        <v>4220</v>
      </c>
      <c r="AO287" t="s">
        <v>4851</v>
      </c>
      <c r="AP287" t="s">
        <v>4877</v>
      </c>
      <c r="AQ287" t="s">
        <v>74</v>
      </c>
      <c r="AR287" t="s">
        <v>4852</v>
      </c>
      <c r="AS287" t="s">
        <v>4853</v>
      </c>
      <c r="AT287" t="s">
        <v>4839</v>
      </c>
      <c r="AU287">
        <v>2007</v>
      </c>
      <c r="AV287">
        <v>19</v>
      </c>
      <c r="AW287">
        <v>2</v>
      </c>
      <c r="AX287" t="s">
        <v>74</v>
      </c>
      <c r="AY287" t="s">
        <v>74</v>
      </c>
      <c r="AZ287" t="s">
        <v>74</v>
      </c>
      <c r="BA287" t="s">
        <v>74</v>
      </c>
      <c r="BB287">
        <v>149</v>
      </c>
      <c r="BC287">
        <v>155</v>
      </c>
      <c r="BD287" t="s">
        <v>74</v>
      </c>
      <c r="BE287" t="s">
        <v>4878</v>
      </c>
      <c r="BF287" t="str">
        <f>HYPERLINK("http://dx.doi.org/10.1017/S0954102007000223","http://dx.doi.org/10.1017/S0954102007000223")</f>
        <v>http://dx.doi.org/10.1017/S0954102007000223</v>
      </c>
      <c r="BG287" t="s">
        <v>74</v>
      </c>
      <c r="BH287" t="s">
        <v>74</v>
      </c>
      <c r="BI287">
        <v>7</v>
      </c>
      <c r="BJ287" t="s">
        <v>4855</v>
      </c>
      <c r="BK287" t="s">
        <v>535</v>
      </c>
      <c r="BL287" t="s">
        <v>4856</v>
      </c>
      <c r="BM287" t="s">
        <v>4857</v>
      </c>
      <c r="BN287" t="s">
        <v>74</v>
      </c>
      <c r="BO287" t="s">
        <v>74</v>
      </c>
      <c r="BP287" t="s">
        <v>74</v>
      </c>
      <c r="BQ287" t="s">
        <v>74</v>
      </c>
      <c r="BR287" t="s">
        <v>101</v>
      </c>
      <c r="BS287" t="s">
        <v>4879</v>
      </c>
      <c r="BT287" t="str">
        <f>HYPERLINK("https%3A%2F%2Fwww.webofscience.com%2Fwos%2Fwoscc%2Ffull-record%2FWOS:000247196900003","View Full Record in Web of Science")</f>
        <v>View Full Record in Web of Science</v>
      </c>
    </row>
    <row r="288" spans="1:72" x14ac:dyDescent="0.15">
      <c r="A288" t="s">
        <v>72</v>
      </c>
      <c r="B288" t="s">
        <v>4880</v>
      </c>
      <c r="C288" t="s">
        <v>74</v>
      </c>
      <c r="D288" t="s">
        <v>74</v>
      </c>
      <c r="E288" t="s">
        <v>74</v>
      </c>
      <c r="F288" t="s">
        <v>4881</v>
      </c>
      <c r="G288" t="s">
        <v>74</v>
      </c>
      <c r="H288" t="s">
        <v>74</v>
      </c>
      <c r="I288" t="s">
        <v>4882</v>
      </c>
      <c r="J288" t="s">
        <v>4849</v>
      </c>
      <c r="K288" t="s">
        <v>74</v>
      </c>
      <c r="L288" t="s">
        <v>74</v>
      </c>
      <c r="M288" t="s">
        <v>78</v>
      </c>
      <c r="N288" t="s">
        <v>514</v>
      </c>
      <c r="O288" t="s">
        <v>4867</v>
      </c>
      <c r="P288" t="s">
        <v>4868</v>
      </c>
      <c r="Q288" t="s">
        <v>4869</v>
      </c>
      <c r="R288" t="s">
        <v>74</v>
      </c>
      <c r="S288" t="s">
        <v>74</v>
      </c>
      <c r="T288" t="s">
        <v>4883</v>
      </c>
      <c r="U288" t="s">
        <v>4884</v>
      </c>
      <c r="V288" t="s">
        <v>4885</v>
      </c>
      <c r="W288" t="s">
        <v>4886</v>
      </c>
      <c r="X288" t="s">
        <v>4887</v>
      </c>
      <c r="Y288" t="s">
        <v>4888</v>
      </c>
      <c r="Z288" t="s">
        <v>4889</v>
      </c>
      <c r="AA288" t="s">
        <v>74</v>
      </c>
      <c r="AB288" t="s">
        <v>74</v>
      </c>
      <c r="AC288" t="s">
        <v>74</v>
      </c>
      <c r="AD288" t="s">
        <v>74</v>
      </c>
      <c r="AE288" t="s">
        <v>74</v>
      </c>
      <c r="AF288" t="s">
        <v>74</v>
      </c>
      <c r="AG288">
        <v>42</v>
      </c>
      <c r="AH288">
        <v>25</v>
      </c>
      <c r="AI288">
        <v>27</v>
      </c>
      <c r="AJ288">
        <v>0</v>
      </c>
      <c r="AK288">
        <v>14</v>
      </c>
      <c r="AL288" t="s">
        <v>4219</v>
      </c>
      <c r="AM288" t="s">
        <v>1593</v>
      </c>
      <c r="AN288" t="s">
        <v>4220</v>
      </c>
      <c r="AO288" t="s">
        <v>4851</v>
      </c>
      <c r="AP288" t="s">
        <v>74</v>
      </c>
      <c r="AQ288" t="s">
        <v>74</v>
      </c>
      <c r="AR288" t="s">
        <v>4852</v>
      </c>
      <c r="AS288" t="s">
        <v>4853</v>
      </c>
      <c r="AT288" t="s">
        <v>4839</v>
      </c>
      <c r="AU288">
        <v>2007</v>
      </c>
      <c r="AV288">
        <v>19</v>
      </c>
      <c r="AW288">
        <v>2</v>
      </c>
      <c r="AX288" t="s">
        <v>74</v>
      </c>
      <c r="AY288" t="s">
        <v>74</v>
      </c>
      <c r="AZ288" t="s">
        <v>74</v>
      </c>
      <c r="BA288" t="s">
        <v>74</v>
      </c>
      <c r="BB288">
        <v>157</v>
      </c>
      <c r="BC288">
        <v>163</v>
      </c>
      <c r="BD288" t="s">
        <v>74</v>
      </c>
      <c r="BE288" t="s">
        <v>4890</v>
      </c>
      <c r="BF288" t="str">
        <f>HYPERLINK("http://dx.doi.org/10.1017/S0954102007000235","http://dx.doi.org/10.1017/S0954102007000235")</f>
        <v>http://dx.doi.org/10.1017/S0954102007000235</v>
      </c>
      <c r="BG288" t="s">
        <v>74</v>
      </c>
      <c r="BH288" t="s">
        <v>74</v>
      </c>
      <c r="BI288">
        <v>7</v>
      </c>
      <c r="BJ288" t="s">
        <v>4855</v>
      </c>
      <c r="BK288" t="s">
        <v>535</v>
      </c>
      <c r="BL288" t="s">
        <v>4856</v>
      </c>
      <c r="BM288" t="s">
        <v>4857</v>
      </c>
      <c r="BN288" t="s">
        <v>74</v>
      </c>
      <c r="BO288" t="s">
        <v>4891</v>
      </c>
      <c r="BP288" t="s">
        <v>74</v>
      </c>
      <c r="BQ288" t="s">
        <v>74</v>
      </c>
      <c r="BR288" t="s">
        <v>101</v>
      </c>
      <c r="BS288" t="s">
        <v>4892</v>
      </c>
      <c r="BT288" t="str">
        <f>HYPERLINK("https%3A%2F%2Fwww.webofscience.com%2Fwos%2Fwoscc%2Ffull-record%2FWOS:000247196900004","View Full Record in Web of Science")</f>
        <v>View Full Record in Web of Science</v>
      </c>
    </row>
    <row r="289" spans="1:72" x14ac:dyDescent="0.15">
      <c r="A289" t="s">
        <v>72</v>
      </c>
      <c r="B289" t="s">
        <v>4893</v>
      </c>
      <c r="C289" t="s">
        <v>74</v>
      </c>
      <c r="D289" t="s">
        <v>74</v>
      </c>
      <c r="E289" t="s">
        <v>74</v>
      </c>
      <c r="F289" t="s">
        <v>4894</v>
      </c>
      <c r="G289" t="s">
        <v>74</v>
      </c>
      <c r="H289" t="s">
        <v>74</v>
      </c>
      <c r="I289" t="s">
        <v>4895</v>
      </c>
      <c r="J289" t="s">
        <v>4849</v>
      </c>
      <c r="K289" t="s">
        <v>74</v>
      </c>
      <c r="L289" t="s">
        <v>74</v>
      </c>
      <c r="M289" t="s">
        <v>78</v>
      </c>
      <c r="N289" t="s">
        <v>514</v>
      </c>
      <c r="O289" t="s">
        <v>4867</v>
      </c>
      <c r="P289" t="s">
        <v>4868</v>
      </c>
      <c r="Q289" t="s">
        <v>4869</v>
      </c>
      <c r="R289" t="s">
        <v>74</v>
      </c>
      <c r="S289" t="s">
        <v>74</v>
      </c>
      <c r="T289" t="s">
        <v>4896</v>
      </c>
      <c r="U289" t="s">
        <v>4897</v>
      </c>
      <c r="V289" t="s">
        <v>4898</v>
      </c>
      <c r="W289" t="s">
        <v>4899</v>
      </c>
      <c r="X289" t="s">
        <v>3744</v>
      </c>
      <c r="Y289" t="s">
        <v>4900</v>
      </c>
      <c r="Z289" t="s">
        <v>4901</v>
      </c>
      <c r="AA289" t="s">
        <v>74</v>
      </c>
      <c r="AB289" t="s">
        <v>4902</v>
      </c>
      <c r="AC289" t="s">
        <v>74</v>
      </c>
      <c r="AD289" t="s">
        <v>74</v>
      </c>
      <c r="AE289" t="s">
        <v>74</v>
      </c>
      <c r="AF289" t="s">
        <v>74</v>
      </c>
      <c r="AG289">
        <v>174</v>
      </c>
      <c r="AH289">
        <v>73</v>
      </c>
      <c r="AI289">
        <v>75</v>
      </c>
      <c r="AJ289">
        <v>0</v>
      </c>
      <c r="AK289">
        <v>27</v>
      </c>
      <c r="AL289" t="s">
        <v>4219</v>
      </c>
      <c r="AM289" t="s">
        <v>1593</v>
      </c>
      <c r="AN289" t="s">
        <v>4220</v>
      </c>
      <c r="AO289" t="s">
        <v>4851</v>
      </c>
      <c r="AP289" t="s">
        <v>4877</v>
      </c>
      <c r="AQ289" t="s">
        <v>74</v>
      </c>
      <c r="AR289" t="s">
        <v>4852</v>
      </c>
      <c r="AS289" t="s">
        <v>4853</v>
      </c>
      <c r="AT289" t="s">
        <v>4839</v>
      </c>
      <c r="AU289">
        <v>2007</v>
      </c>
      <c r="AV289">
        <v>19</v>
      </c>
      <c r="AW289">
        <v>2</v>
      </c>
      <c r="AX289" t="s">
        <v>74</v>
      </c>
      <c r="AY289" t="s">
        <v>74</v>
      </c>
      <c r="AZ289" t="s">
        <v>74</v>
      </c>
      <c r="BA289" t="s">
        <v>74</v>
      </c>
      <c r="BB289">
        <v>165</v>
      </c>
      <c r="BC289">
        <v>182</v>
      </c>
      <c r="BD289" t="s">
        <v>74</v>
      </c>
      <c r="BE289" t="s">
        <v>4903</v>
      </c>
      <c r="BF289" t="str">
        <f>HYPERLINK("http://dx.doi.org/10.1017/S0954102007000247","http://dx.doi.org/10.1017/S0954102007000247")</f>
        <v>http://dx.doi.org/10.1017/S0954102007000247</v>
      </c>
      <c r="BG289" t="s">
        <v>74</v>
      </c>
      <c r="BH289" t="s">
        <v>74</v>
      </c>
      <c r="BI289">
        <v>18</v>
      </c>
      <c r="BJ289" t="s">
        <v>4855</v>
      </c>
      <c r="BK289" t="s">
        <v>535</v>
      </c>
      <c r="BL289" t="s">
        <v>4856</v>
      </c>
      <c r="BM289" t="s">
        <v>4857</v>
      </c>
      <c r="BN289" t="s">
        <v>74</v>
      </c>
      <c r="BO289" t="s">
        <v>74</v>
      </c>
      <c r="BP289" t="s">
        <v>74</v>
      </c>
      <c r="BQ289" t="s">
        <v>74</v>
      </c>
      <c r="BR289" t="s">
        <v>101</v>
      </c>
      <c r="BS289" t="s">
        <v>4904</v>
      </c>
      <c r="BT289" t="str">
        <f>HYPERLINK("https%3A%2F%2Fwww.webofscience.com%2Fwos%2Fwoscc%2Ffull-record%2FWOS:000247196900005","View Full Record in Web of Science")</f>
        <v>View Full Record in Web of Science</v>
      </c>
    </row>
    <row r="290" spans="1:72" x14ac:dyDescent="0.15">
      <c r="A290" t="s">
        <v>72</v>
      </c>
      <c r="B290" t="s">
        <v>4905</v>
      </c>
      <c r="C290" t="s">
        <v>74</v>
      </c>
      <c r="D290" t="s">
        <v>74</v>
      </c>
      <c r="E290" t="s">
        <v>74</v>
      </c>
      <c r="F290" t="s">
        <v>4906</v>
      </c>
      <c r="G290" t="s">
        <v>74</v>
      </c>
      <c r="H290" t="s">
        <v>74</v>
      </c>
      <c r="I290" t="s">
        <v>4907</v>
      </c>
      <c r="J290" t="s">
        <v>4849</v>
      </c>
      <c r="K290" t="s">
        <v>74</v>
      </c>
      <c r="L290" t="s">
        <v>74</v>
      </c>
      <c r="M290" t="s">
        <v>78</v>
      </c>
      <c r="N290" t="s">
        <v>514</v>
      </c>
      <c r="O290" t="s">
        <v>4867</v>
      </c>
      <c r="P290" t="s">
        <v>4868</v>
      </c>
      <c r="Q290" t="s">
        <v>4869</v>
      </c>
      <c r="R290" t="s">
        <v>74</v>
      </c>
      <c r="S290" t="s">
        <v>74</v>
      </c>
      <c r="T290" t="s">
        <v>4908</v>
      </c>
      <c r="U290" t="s">
        <v>4909</v>
      </c>
      <c r="V290" t="s">
        <v>4910</v>
      </c>
      <c r="W290" t="s">
        <v>4911</v>
      </c>
      <c r="X290" t="s">
        <v>4912</v>
      </c>
      <c r="Y290" t="s">
        <v>4913</v>
      </c>
      <c r="Z290" t="s">
        <v>4914</v>
      </c>
      <c r="AA290" t="s">
        <v>4915</v>
      </c>
      <c r="AB290" t="s">
        <v>4916</v>
      </c>
      <c r="AC290" t="s">
        <v>74</v>
      </c>
      <c r="AD290" t="s">
        <v>74</v>
      </c>
      <c r="AE290" t="s">
        <v>74</v>
      </c>
      <c r="AF290" t="s">
        <v>74</v>
      </c>
      <c r="AG290">
        <v>31</v>
      </c>
      <c r="AH290">
        <v>19</v>
      </c>
      <c r="AI290">
        <v>20</v>
      </c>
      <c r="AJ290">
        <v>0</v>
      </c>
      <c r="AK290">
        <v>20</v>
      </c>
      <c r="AL290" t="s">
        <v>4219</v>
      </c>
      <c r="AM290" t="s">
        <v>1593</v>
      </c>
      <c r="AN290" t="s">
        <v>4220</v>
      </c>
      <c r="AO290" t="s">
        <v>4851</v>
      </c>
      <c r="AP290" t="s">
        <v>74</v>
      </c>
      <c r="AQ290" t="s">
        <v>74</v>
      </c>
      <c r="AR290" t="s">
        <v>4852</v>
      </c>
      <c r="AS290" t="s">
        <v>4853</v>
      </c>
      <c r="AT290" t="s">
        <v>4839</v>
      </c>
      <c r="AU290">
        <v>2007</v>
      </c>
      <c r="AV290">
        <v>19</v>
      </c>
      <c r="AW290">
        <v>2</v>
      </c>
      <c r="AX290" t="s">
        <v>74</v>
      </c>
      <c r="AY290" t="s">
        <v>74</v>
      </c>
      <c r="AZ290" t="s">
        <v>74</v>
      </c>
      <c r="BA290" t="s">
        <v>74</v>
      </c>
      <c r="BB290">
        <v>183</v>
      </c>
      <c r="BC290">
        <v>188</v>
      </c>
      <c r="BD290" t="s">
        <v>74</v>
      </c>
      <c r="BE290" t="s">
        <v>4917</v>
      </c>
      <c r="BF290" t="str">
        <f>HYPERLINK("http://dx.doi.org/10.1017/S0954102007000259","http://dx.doi.org/10.1017/S0954102007000259")</f>
        <v>http://dx.doi.org/10.1017/S0954102007000259</v>
      </c>
      <c r="BG290" t="s">
        <v>74</v>
      </c>
      <c r="BH290" t="s">
        <v>74</v>
      </c>
      <c r="BI290">
        <v>6</v>
      </c>
      <c r="BJ290" t="s">
        <v>4855</v>
      </c>
      <c r="BK290" t="s">
        <v>535</v>
      </c>
      <c r="BL290" t="s">
        <v>4856</v>
      </c>
      <c r="BM290" t="s">
        <v>4857</v>
      </c>
      <c r="BN290" t="s">
        <v>74</v>
      </c>
      <c r="BO290" t="s">
        <v>223</v>
      </c>
      <c r="BP290" t="s">
        <v>74</v>
      </c>
      <c r="BQ290" t="s">
        <v>74</v>
      </c>
      <c r="BR290" t="s">
        <v>101</v>
      </c>
      <c r="BS290" t="s">
        <v>4918</v>
      </c>
      <c r="BT290" t="str">
        <f>HYPERLINK("https%3A%2F%2Fwww.webofscience.com%2Fwos%2Fwoscc%2Ffull-record%2FWOS:000247196900006","View Full Record in Web of Science")</f>
        <v>View Full Record in Web of Science</v>
      </c>
    </row>
    <row r="291" spans="1:72" x14ac:dyDescent="0.15">
      <c r="A291" t="s">
        <v>72</v>
      </c>
      <c r="B291" t="s">
        <v>4919</v>
      </c>
      <c r="C291" t="s">
        <v>74</v>
      </c>
      <c r="D291" t="s">
        <v>74</v>
      </c>
      <c r="E291" t="s">
        <v>74</v>
      </c>
      <c r="F291" t="s">
        <v>4920</v>
      </c>
      <c r="G291" t="s">
        <v>74</v>
      </c>
      <c r="H291" t="s">
        <v>74</v>
      </c>
      <c r="I291" t="s">
        <v>4921</v>
      </c>
      <c r="J291" t="s">
        <v>4849</v>
      </c>
      <c r="K291" t="s">
        <v>74</v>
      </c>
      <c r="L291" t="s">
        <v>74</v>
      </c>
      <c r="M291" t="s">
        <v>78</v>
      </c>
      <c r="N291" t="s">
        <v>514</v>
      </c>
      <c r="O291" t="s">
        <v>4867</v>
      </c>
      <c r="P291" t="s">
        <v>4868</v>
      </c>
      <c r="Q291" t="s">
        <v>4869</v>
      </c>
      <c r="R291" t="s">
        <v>74</v>
      </c>
      <c r="S291" t="s">
        <v>74</v>
      </c>
      <c r="T291" t="s">
        <v>4922</v>
      </c>
      <c r="U291" t="s">
        <v>4923</v>
      </c>
      <c r="V291" t="s">
        <v>4924</v>
      </c>
      <c r="W291" t="s">
        <v>4925</v>
      </c>
      <c r="X291" t="s">
        <v>4926</v>
      </c>
      <c r="Y291" t="s">
        <v>4927</v>
      </c>
      <c r="Z291" t="s">
        <v>4928</v>
      </c>
      <c r="AA291" t="s">
        <v>4929</v>
      </c>
      <c r="AB291" t="s">
        <v>4930</v>
      </c>
      <c r="AC291" t="s">
        <v>74</v>
      </c>
      <c r="AD291" t="s">
        <v>74</v>
      </c>
      <c r="AE291" t="s">
        <v>74</v>
      </c>
      <c r="AF291" t="s">
        <v>74</v>
      </c>
      <c r="AG291">
        <v>26</v>
      </c>
      <c r="AH291">
        <v>18</v>
      </c>
      <c r="AI291">
        <v>21</v>
      </c>
      <c r="AJ291">
        <v>1</v>
      </c>
      <c r="AK291">
        <v>30</v>
      </c>
      <c r="AL291" t="s">
        <v>4219</v>
      </c>
      <c r="AM291" t="s">
        <v>1593</v>
      </c>
      <c r="AN291" t="s">
        <v>4220</v>
      </c>
      <c r="AO291" t="s">
        <v>4851</v>
      </c>
      <c r="AP291" t="s">
        <v>4877</v>
      </c>
      <c r="AQ291" t="s">
        <v>74</v>
      </c>
      <c r="AR291" t="s">
        <v>4852</v>
      </c>
      <c r="AS291" t="s">
        <v>4853</v>
      </c>
      <c r="AT291" t="s">
        <v>4839</v>
      </c>
      <c r="AU291">
        <v>2007</v>
      </c>
      <c r="AV291">
        <v>19</v>
      </c>
      <c r="AW291">
        <v>2</v>
      </c>
      <c r="AX291" t="s">
        <v>74</v>
      </c>
      <c r="AY291" t="s">
        <v>74</v>
      </c>
      <c r="AZ291" t="s">
        <v>74</v>
      </c>
      <c r="BA291" t="s">
        <v>74</v>
      </c>
      <c r="BB291">
        <v>189</v>
      </c>
      <c r="BC291">
        <v>194</v>
      </c>
      <c r="BD291" t="s">
        <v>74</v>
      </c>
      <c r="BE291" t="s">
        <v>4931</v>
      </c>
      <c r="BF291" t="str">
        <f>HYPERLINK("http://dx.doi.org/10.1017/S0954102007000260","http://dx.doi.org/10.1017/S0954102007000260")</f>
        <v>http://dx.doi.org/10.1017/S0954102007000260</v>
      </c>
      <c r="BG291" t="s">
        <v>74</v>
      </c>
      <c r="BH291" t="s">
        <v>74</v>
      </c>
      <c r="BI291">
        <v>6</v>
      </c>
      <c r="BJ291" t="s">
        <v>4855</v>
      </c>
      <c r="BK291" t="s">
        <v>535</v>
      </c>
      <c r="BL291" t="s">
        <v>4856</v>
      </c>
      <c r="BM291" t="s">
        <v>4857</v>
      </c>
      <c r="BN291" t="s">
        <v>74</v>
      </c>
      <c r="BO291" t="s">
        <v>74</v>
      </c>
      <c r="BP291" t="s">
        <v>74</v>
      </c>
      <c r="BQ291" t="s">
        <v>74</v>
      </c>
      <c r="BR291" t="s">
        <v>101</v>
      </c>
      <c r="BS291" t="s">
        <v>4932</v>
      </c>
      <c r="BT291" t="str">
        <f>HYPERLINK("https%3A%2F%2Fwww.webofscience.com%2Fwos%2Fwoscc%2Ffull-record%2FWOS:000247196900007","View Full Record in Web of Science")</f>
        <v>View Full Record in Web of Science</v>
      </c>
    </row>
    <row r="292" spans="1:72" x14ac:dyDescent="0.15">
      <c r="A292" t="s">
        <v>72</v>
      </c>
      <c r="B292" t="s">
        <v>4933</v>
      </c>
      <c r="C292" t="s">
        <v>74</v>
      </c>
      <c r="D292" t="s">
        <v>74</v>
      </c>
      <c r="E292" t="s">
        <v>74</v>
      </c>
      <c r="F292" t="s">
        <v>4934</v>
      </c>
      <c r="G292" t="s">
        <v>74</v>
      </c>
      <c r="H292" t="s">
        <v>74</v>
      </c>
      <c r="I292" t="s">
        <v>4935</v>
      </c>
      <c r="J292" t="s">
        <v>4849</v>
      </c>
      <c r="K292" t="s">
        <v>74</v>
      </c>
      <c r="L292" t="s">
        <v>74</v>
      </c>
      <c r="M292" t="s">
        <v>78</v>
      </c>
      <c r="N292" t="s">
        <v>514</v>
      </c>
      <c r="O292" t="s">
        <v>4867</v>
      </c>
      <c r="P292" t="s">
        <v>4868</v>
      </c>
      <c r="Q292" t="s">
        <v>4869</v>
      </c>
      <c r="R292" t="s">
        <v>74</v>
      </c>
      <c r="S292" t="s">
        <v>74</v>
      </c>
      <c r="T292" t="s">
        <v>4936</v>
      </c>
      <c r="U292" t="s">
        <v>74</v>
      </c>
      <c r="V292" t="s">
        <v>4937</v>
      </c>
      <c r="W292" t="s">
        <v>4938</v>
      </c>
      <c r="X292" t="s">
        <v>74</v>
      </c>
      <c r="Y292" t="s">
        <v>4939</v>
      </c>
      <c r="Z292" t="s">
        <v>4940</v>
      </c>
      <c r="AA292" t="s">
        <v>74</v>
      </c>
      <c r="AB292" t="s">
        <v>74</v>
      </c>
      <c r="AC292" t="s">
        <v>74</v>
      </c>
      <c r="AD292" t="s">
        <v>74</v>
      </c>
      <c r="AE292" t="s">
        <v>74</v>
      </c>
      <c r="AF292" t="s">
        <v>74</v>
      </c>
      <c r="AG292">
        <v>41</v>
      </c>
      <c r="AH292">
        <v>7</v>
      </c>
      <c r="AI292">
        <v>8</v>
      </c>
      <c r="AJ292">
        <v>1</v>
      </c>
      <c r="AK292">
        <v>10</v>
      </c>
      <c r="AL292" t="s">
        <v>4219</v>
      </c>
      <c r="AM292" t="s">
        <v>1593</v>
      </c>
      <c r="AN292" t="s">
        <v>4220</v>
      </c>
      <c r="AO292" t="s">
        <v>4851</v>
      </c>
      <c r="AP292" t="s">
        <v>4877</v>
      </c>
      <c r="AQ292" t="s">
        <v>74</v>
      </c>
      <c r="AR292" t="s">
        <v>4852</v>
      </c>
      <c r="AS292" t="s">
        <v>4853</v>
      </c>
      <c r="AT292" t="s">
        <v>4839</v>
      </c>
      <c r="AU292">
        <v>2007</v>
      </c>
      <c r="AV292">
        <v>19</v>
      </c>
      <c r="AW292">
        <v>2</v>
      </c>
      <c r="AX292" t="s">
        <v>74</v>
      </c>
      <c r="AY292" t="s">
        <v>74</v>
      </c>
      <c r="AZ292" t="s">
        <v>74</v>
      </c>
      <c r="BA292" t="s">
        <v>74</v>
      </c>
      <c r="BB292">
        <v>195</v>
      </c>
      <c r="BC292">
        <v>203</v>
      </c>
      <c r="BD292" t="s">
        <v>74</v>
      </c>
      <c r="BE292" t="s">
        <v>4941</v>
      </c>
      <c r="BF292" t="str">
        <f>HYPERLINK("http://dx.doi.org/10.1017/S0954102007000272","http://dx.doi.org/10.1017/S0954102007000272")</f>
        <v>http://dx.doi.org/10.1017/S0954102007000272</v>
      </c>
      <c r="BG292" t="s">
        <v>74</v>
      </c>
      <c r="BH292" t="s">
        <v>74</v>
      </c>
      <c r="BI292">
        <v>9</v>
      </c>
      <c r="BJ292" t="s">
        <v>4855</v>
      </c>
      <c r="BK292" t="s">
        <v>535</v>
      </c>
      <c r="BL292" t="s">
        <v>4856</v>
      </c>
      <c r="BM292" t="s">
        <v>4857</v>
      </c>
      <c r="BN292" t="s">
        <v>74</v>
      </c>
      <c r="BO292" t="s">
        <v>74</v>
      </c>
      <c r="BP292" t="s">
        <v>74</v>
      </c>
      <c r="BQ292" t="s">
        <v>74</v>
      </c>
      <c r="BR292" t="s">
        <v>101</v>
      </c>
      <c r="BS292" t="s">
        <v>4942</v>
      </c>
      <c r="BT292" t="str">
        <f>HYPERLINK("https%3A%2F%2Fwww.webofscience.com%2Fwos%2Fwoscc%2Ffull-record%2FWOS:000247196900008","View Full Record in Web of Science")</f>
        <v>View Full Record in Web of Science</v>
      </c>
    </row>
    <row r="293" spans="1:72" x14ac:dyDescent="0.15">
      <c r="A293" t="s">
        <v>72</v>
      </c>
      <c r="B293" t="s">
        <v>4943</v>
      </c>
      <c r="C293" t="s">
        <v>74</v>
      </c>
      <c r="D293" t="s">
        <v>74</v>
      </c>
      <c r="E293" t="s">
        <v>74</v>
      </c>
      <c r="F293" t="s">
        <v>4944</v>
      </c>
      <c r="G293" t="s">
        <v>74</v>
      </c>
      <c r="H293" t="s">
        <v>74</v>
      </c>
      <c r="I293" t="s">
        <v>4945</v>
      </c>
      <c r="J293" t="s">
        <v>4849</v>
      </c>
      <c r="K293" t="s">
        <v>74</v>
      </c>
      <c r="L293" t="s">
        <v>74</v>
      </c>
      <c r="M293" t="s">
        <v>78</v>
      </c>
      <c r="N293" t="s">
        <v>514</v>
      </c>
      <c r="O293" t="s">
        <v>4867</v>
      </c>
      <c r="P293" t="s">
        <v>4868</v>
      </c>
      <c r="Q293" t="s">
        <v>4869</v>
      </c>
      <c r="R293" t="s">
        <v>74</v>
      </c>
      <c r="S293" t="s">
        <v>74</v>
      </c>
      <c r="T293" t="s">
        <v>4946</v>
      </c>
      <c r="U293" t="s">
        <v>4947</v>
      </c>
      <c r="V293" t="s">
        <v>4948</v>
      </c>
      <c r="W293" t="s">
        <v>4949</v>
      </c>
      <c r="X293" t="s">
        <v>4950</v>
      </c>
      <c r="Y293" t="s">
        <v>4951</v>
      </c>
      <c r="Z293" t="s">
        <v>4952</v>
      </c>
      <c r="AA293" t="s">
        <v>74</v>
      </c>
      <c r="AB293" t="s">
        <v>4953</v>
      </c>
      <c r="AC293" t="s">
        <v>74</v>
      </c>
      <c r="AD293" t="s">
        <v>74</v>
      </c>
      <c r="AE293" t="s">
        <v>74</v>
      </c>
      <c r="AF293" t="s">
        <v>74</v>
      </c>
      <c r="AG293">
        <v>76</v>
      </c>
      <c r="AH293">
        <v>23</v>
      </c>
      <c r="AI293">
        <v>24</v>
      </c>
      <c r="AJ293">
        <v>1</v>
      </c>
      <c r="AK293">
        <v>23</v>
      </c>
      <c r="AL293" t="s">
        <v>4219</v>
      </c>
      <c r="AM293" t="s">
        <v>1593</v>
      </c>
      <c r="AN293" t="s">
        <v>4220</v>
      </c>
      <c r="AO293" t="s">
        <v>4851</v>
      </c>
      <c r="AP293" t="s">
        <v>74</v>
      </c>
      <c r="AQ293" t="s">
        <v>74</v>
      </c>
      <c r="AR293" t="s">
        <v>4852</v>
      </c>
      <c r="AS293" t="s">
        <v>4853</v>
      </c>
      <c r="AT293" t="s">
        <v>4839</v>
      </c>
      <c r="AU293">
        <v>2007</v>
      </c>
      <c r="AV293">
        <v>19</v>
      </c>
      <c r="AW293">
        <v>2</v>
      </c>
      <c r="AX293" t="s">
        <v>74</v>
      </c>
      <c r="AY293" t="s">
        <v>74</v>
      </c>
      <c r="AZ293" t="s">
        <v>74</v>
      </c>
      <c r="BA293" t="s">
        <v>74</v>
      </c>
      <c r="BB293">
        <v>205</v>
      </c>
      <c r="BC293">
        <v>217</v>
      </c>
      <c r="BD293" t="s">
        <v>74</v>
      </c>
      <c r="BE293" t="s">
        <v>4954</v>
      </c>
      <c r="BF293" t="str">
        <f>HYPERLINK("http://dx.doi.org/10.1017/S0954102007000284","http://dx.doi.org/10.1017/S0954102007000284")</f>
        <v>http://dx.doi.org/10.1017/S0954102007000284</v>
      </c>
      <c r="BG293" t="s">
        <v>74</v>
      </c>
      <c r="BH293" t="s">
        <v>74</v>
      </c>
      <c r="BI293">
        <v>13</v>
      </c>
      <c r="BJ293" t="s">
        <v>4855</v>
      </c>
      <c r="BK293" t="s">
        <v>535</v>
      </c>
      <c r="BL293" t="s">
        <v>4856</v>
      </c>
      <c r="BM293" t="s">
        <v>4857</v>
      </c>
      <c r="BN293" t="s">
        <v>74</v>
      </c>
      <c r="BO293" t="s">
        <v>74</v>
      </c>
      <c r="BP293" t="s">
        <v>74</v>
      </c>
      <c r="BQ293" t="s">
        <v>74</v>
      </c>
      <c r="BR293" t="s">
        <v>101</v>
      </c>
      <c r="BS293" t="s">
        <v>4955</v>
      </c>
      <c r="BT293" t="str">
        <f>HYPERLINK("https%3A%2F%2Fwww.webofscience.com%2Fwos%2Fwoscc%2Ffull-record%2FWOS:000247196900009","View Full Record in Web of Science")</f>
        <v>View Full Record in Web of Science</v>
      </c>
    </row>
    <row r="294" spans="1:72" x14ac:dyDescent="0.15">
      <c r="A294" t="s">
        <v>72</v>
      </c>
      <c r="B294" t="s">
        <v>4956</v>
      </c>
      <c r="C294" t="s">
        <v>74</v>
      </c>
      <c r="D294" t="s">
        <v>74</v>
      </c>
      <c r="E294" t="s">
        <v>74</v>
      </c>
      <c r="F294" t="s">
        <v>4957</v>
      </c>
      <c r="G294" t="s">
        <v>74</v>
      </c>
      <c r="H294" t="s">
        <v>74</v>
      </c>
      <c r="I294" t="s">
        <v>4958</v>
      </c>
      <c r="J294" t="s">
        <v>4849</v>
      </c>
      <c r="K294" t="s">
        <v>74</v>
      </c>
      <c r="L294" t="s">
        <v>74</v>
      </c>
      <c r="M294" t="s">
        <v>78</v>
      </c>
      <c r="N294" t="s">
        <v>514</v>
      </c>
      <c r="O294" t="s">
        <v>4867</v>
      </c>
      <c r="P294" t="s">
        <v>4868</v>
      </c>
      <c r="Q294" t="s">
        <v>4869</v>
      </c>
      <c r="R294" t="s">
        <v>74</v>
      </c>
      <c r="S294" t="s">
        <v>74</v>
      </c>
      <c r="T294" t="s">
        <v>4959</v>
      </c>
      <c r="U294" t="s">
        <v>4960</v>
      </c>
      <c r="V294" t="s">
        <v>4961</v>
      </c>
      <c r="W294" t="s">
        <v>4214</v>
      </c>
      <c r="X294" t="s">
        <v>4215</v>
      </c>
      <c r="Y294" t="s">
        <v>4962</v>
      </c>
      <c r="Z294" t="s">
        <v>4963</v>
      </c>
      <c r="AA294" t="s">
        <v>4964</v>
      </c>
      <c r="AB294" t="s">
        <v>4965</v>
      </c>
      <c r="AC294" t="s">
        <v>74</v>
      </c>
      <c r="AD294" t="s">
        <v>74</v>
      </c>
      <c r="AE294" t="s">
        <v>74</v>
      </c>
      <c r="AF294" t="s">
        <v>74</v>
      </c>
      <c r="AG294">
        <v>71</v>
      </c>
      <c r="AH294">
        <v>62</v>
      </c>
      <c r="AI294">
        <v>82</v>
      </c>
      <c r="AJ294">
        <v>1</v>
      </c>
      <c r="AK294">
        <v>20</v>
      </c>
      <c r="AL294" t="s">
        <v>4219</v>
      </c>
      <c r="AM294" t="s">
        <v>1593</v>
      </c>
      <c r="AN294" t="s">
        <v>4220</v>
      </c>
      <c r="AO294" t="s">
        <v>4851</v>
      </c>
      <c r="AP294" t="s">
        <v>4877</v>
      </c>
      <c r="AQ294" t="s">
        <v>74</v>
      </c>
      <c r="AR294" t="s">
        <v>4852</v>
      </c>
      <c r="AS294" t="s">
        <v>4853</v>
      </c>
      <c r="AT294" t="s">
        <v>4839</v>
      </c>
      <c r="AU294">
        <v>2007</v>
      </c>
      <c r="AV294">
        <v>19</v>
      </c>
      <c r="AW294">
        <v>2</v>
      </c>
      <c r="AX294" t="s">
        <v>74</v>
      </c>
      <c r="AY294" t="s">
        <v>74</v>
      </c>
      <c r="AZ294" t="s">
        <v>74</v>
      </c>
      <c r="BA294" t="s">
        <v>74</v>
      </c>
      <c r="BB294">
        <v>219</v>
      </c>
      <c r="BC294">
        <v>230</v>
      </c>
      <c r="BD294" t="s">
        <v>74</v>
      </c>
      <c r="BE294" t="s">
        <v>4966</v>
      </c>
      <c r="BF294" t="str">
        <f>HYPERLINK("http://dx.doi.org/10.1017/S0954102007000296","http://dx.doi.org/10.1017/S0954102007000296")</f>
        <v>http://dx.doi.org/10.1017/S0954102007000296</v>
      </c>
      <c r="BG294" t="s">
        <v>74</v>
      </c>
      <c r="BH294" t="s">
        <v>74</v>
      </c>
      <c r="BI294">
        <v>12</v>
      </c>
      <c r="BJ294" t="s">
        <v>4855</v>
      </c>
      <c r="BK294" t="s">
        <v>535</v>
      </c>
      <c r="BL294" t="s">
        <v>4856</v>
      </c>
      <c r="BM294" t="s">
        <v>4857</v>
      </c>
      <c r="BN294" t="s">
        <v>74</v>
      </c>
      <c r="BO294" t="s">
        <v>74</v>
      </c>
      <c r="BP294" t="s">
        <v>74</v>
      </c>
      <c r="BQ294" t="s">
        <v>74</v>
      </c>
      <c r="BR294" t="s">
        <v>101</v>
      </c>
      <c r="BS294" t="s">
        <v>4967</v>
      </c>
      <c r="BT294" t="str">
        <f>HYPERLINK("https%3A%2F%2Fwww.webofscience.com%2Fwos%2Fwoscc%2Ffull-record%2FWOS:000247196900010","View Full Record in Web of Science")</f>
        <v>View Full Record in Web of Science</v>
      </c>
    </row>
    <row r="295" spans="1:72" x14ac:dyDescent="0.15">
      <c r="A295" t="s">
        <v>72</v>
      </c>
      <c r="B295" t="s">
        <v>4968</v>
      </c>
      <c r="C295" t="s">
        <v>74</v>
      </c>
      <c r="D295" t="s">
        <v>74</v>
      </c>
      <c r="E295" t="s">
        <v>74</v>
      </c>
      <c r="F295" t="s">
        <v>4969</v>
      </c>
      <c r="G295" t="s">
        <v>74</v>
      </c>
      <c r="H295" t="s">
        <v>74</v>
      </c>
      <c r="I295" t="s">
        <v>4970</v>
      </c>
      <c r="J295" t="s">
        <v>4849</v>
      </c>
      <c r="K295" t="s">
        <v>74</v>
      </c>
      <c r="L295" t="s">
        <v>74</v>
      </c>
      <c r="M295" t="s">
        <v>78</v>
      </c>
      <c r="N295" t="s">
        <v>514</v>
      </c>
      <c r="O295" t="s">
        <v>4867</v>
      </c>
      <c r="P295" t="s">
        <v>4868</v>
      </c>
      <c r="Q295" t="s">
        <v>4869</v>
      </c>
      <c r="R295" t="s">
        <v>74</v>
      </c>
      <c r="S295" t="s">
        <v>74</v>
      </c>
      <c r="T295" t="s">
        <v>4971</v>
      </c>
      <c r="U295" t="s">
        <v>4972</v>
      </c>
      <c r="V295" t="s">
        <v>4973</v>
      </c>
      <c r="W295" t="s">
        <v>4974</v>
      </c>
      <c r="X295" t="s">
        <v>74</v>
      </c>
      <c r="Y295" t="s">
        <v>4975</v>
      </c>
      <c r="Z295" t="s">
        <v>4976</v>
      </c>
      <c r="AA295" t="s">
        <v>74</v>
      </c>
      <c r="AB295" t="s">
        <v>74</v>
      </c>
      <c r="AC295" t="s">
        <v>74</v>
      </c>
      <c r="AD295" t="s">
        <v>74</v>
      </c>
      <c r="AE295" t="s">
        <v>74</v>
      </c>
      <c r="AF295" t="s">
        <v>74</v>
      </c>
      <c r="AG295">
        <v>57</v>
      </c>
      <c r="AH295">
        <v>25</v>
      </c>
      <c r="AI295">
        <v>27</v>
      </c>
      <c r="AJ295">
        <v>0</v>
      </c>
      <c r="AK295">
        <v>27</v>
      </c>
      <c r="AL295" t="s">
        <v>4219</v>
      </c>
      <c r="AM295" t="s">
        <v>1593</v>
      </c>
      <c r="AN295" t="s">
        <v>4220</v>
      </c>
      <c r="AO295" t="s">
        <v>4851</v>
      </c>
      <c r="AP295" t="s">
        <v>4877</v>
      </c>
      <c r="AQ295" t="s">
        <v>74</v>
      </c>
      <c r="AR295" t="s">
        <v>4852</v>
      </c>
      <c r="AS295" t="s">
        <v>4853</v>
      </c>
      <c r="AT295" t="s">
        <v>4839</v>
      </c>
      <c r="AU295">
        <v>2007</v>
      </c>
      <c r="AV295">
        <v>19</v>
      </c>
      <c r="AW295">
        <v>2</v>
      </c>
      <c r="AX295" t="s">
        <v>74</v>
      </c>
      <c r="AY295" t="s">
        <v>74</v>
      </c>
      <c r="AZ295" t="s">
        <v>74</v>
      </c>
      <c r="BA295" t="s">
        <v>74</v>
      </c>
      <c r="BB295">
        <v>231</v>
      </c>
      <c r="BC295">
        <v>238</v>
      </c>
      <c r="BD295" t="s">
        <v>74</v>
      </c>
      <c r="BE295" t="s">
        <v>4977</v>
      </c>
      <c r="BF295" t="str">
        <f>HYPERLINK("http://dx.doi.org/10.1017/S0954102007000302","http://dx.doi.org/10.1017/S0954102007000302")</f>
        <v>http://dx.doi.org/10.1017/S0954102007000302</v>
      </c>
      <c r="BG295" t="s">
        <v>74</v>
      </c>
      <c r="BH295" t="s">
        <v>74</v>
      </c>
      <c r="BI295">
        <v>8</v>
      </c>
      <c r="BJ295" t="s">
        <v>4855</v>
      </c>
      <c r="BK295" t="s">
        <v>535</v>
      </c>
      <c r="BL295" t="s">
        <v>4856</v>
      </c>
      <c r="BM295" t="s">
        <v>4857</v>
      </c>
      <c r="BN295" t="s">
        <v>74</v>
      </c>
      <c r="BO295" t="s">
        <v>74</v>
      </c>
      <c r="BP295" t="s">
        <v>74</v>
      </c>
      <c r="BQ295" t="s">
        <v>74</v>
      </c>
      <c r="BR295" t="s">
        <v>101</v>
      </c>
      <c r="BS295" t="s">
        <v>4978</v>
      </c>
      <c r="BT295" t="str">
        <f>HYPERLINK("https%3A%2F%2Fwww.webofscience.com%2Fwos%2Fwoscc%2Ffull-record%2FWOS:000247196900011","View Full Record in Web of Science")</f>
        <v>View Full Record in Web of Science</v>
      </c>
    </row>
    <row r="296" spans="1:72" x14ac:dyDescent="0.15">
      <c r="A296" t="s">
        <v>72</v>
      </c>
      <c r="B296" t="s">
        <v>4979</v>
      </c>
      <c r="C296" t="s">
        <v>74</v>
      </c>
      <c r="D296" t="s">
        <v>74</v>
      </c>
      <c r="E296" t="s">
        <v>74</v>
      </c>
      <c r="F296" t="s">
        <v>4980</v>
      </c>
      <c r="G296" t="s">
        <v>74</v>
      </c>
      <c r="H296" t="s">
        <v>74</v>
      </c>
      <c r="I296" t="s">
        <v>4981</v>
      </c>
      <c r="J296" t="s">
        <v>4849</v>
      </c>
      <c r="K296" t="s">
        <v>74</v>
      </c>
      <c r="L296" t="s">
        <v>74</v>
      </c>
      <c r="M296" t="s">
        <v>78</v>
      </c>
      <c r="N296" t="s">
        <v>514</v>
      </c>
      <c r="O296" t="s">
        <v>4867</v>
      </c>
      <c r="P296" t="s">
        <v>4868</v>
      </c>
      <c r="Q296" t="s">
        <v>4869</v>
      </c>
      <c r="R296" t="s">
        <v>74</v>
      </c>
      <c r="S296" t="s">
        <v>74</v>
      </c>
      <c r="T296" t="s">
        <v>4982</v>
      </c>
      <c r="U296" t="s">
        <v>4983</v>
      </c>
      <c r="V296" t="s">
        <v>4984</v>
      </c>
      <c r="W296" t="s">
        <v>4985</v>
      </c>
      <c r="X296" t="s">
        <v>4986</v>
      </c>
      <c r="Y296" t="s">
        <v>4987</v>
      </c>
      <c r="Z296" t="s">
        <v>4988</v>
      </c>
      <c r="AA296" t="s">
        <v>74</v>
      </c>
      <c r="AB296" t="s">
        <v>4989</v>
      </c>
      <c r="AC296" t="s">
        <v>74</v>
      </c>
      <c r="AD296" t="s">
        <v>74</v>
      </c>
      <c r="AE296" t="s">
        <v>74</v>
      </c>
      <c r="AF296" t="s">
        <v>74</v>
      </c>
      <c r="AG296">
        <v>40</v>
      </c>
      <c r="AH296">
        <v>10</v>
      </c>
      <c r="AI296">
        <v>10</v>
      </c>
      <c r="AJ296">
        <v>0</v>
      </c>
      <c r="AK296">
        <v>5</v>
      </c>
      <c r="AL296" t="s">
        <v>4219</v>
      </c>
      <c r="AM296" t="s">
        <v>1593</v>
      </c>
      <c r="AN296" t="s">
        <v>4220</v>
      </c>
      <c r="AO296" t="s">
        <v>4851</v>
      </c>
      <c r="AP296" t="s">
        <v>4877</v>
      </c>
      <c r="AQ296" t="s">
        <v>74</v>
      </c>
      <c r="AR296" t="s">
        <v>4852</v>
      </c>
      <c r="AS296" t="s">
        <v>4853</v>
      </c>
      <c r="AT296" t="s">
        <v>4839</v>
      </c>
      <c r="AU296">
        <v>2007</v>
      </c>
      <c r="AV296">
        <v>19</v>
      </c>
      <c r="AW296">
        <v>2</v>
      </c>
      <c r="AX296" t="s">
        <v>74</v>
      </c>
      <c r="AY296" t="s">
        <v>74</v>
      </c>
      <c r="AZ296" t="s">
        <v>74</v>
      </c>
      <c r="BA296" t="s">
        <v>74</v>
      </c>
      <c r="BB296">
        <v>239</v>
      </c>
      <c r="BC296">
        <v>244</v>
      </c>
      <c r="BD296" t="s">
        <v>74</v>
      </c>
      <c r="BE296" t="s">
        <v>4990</v>
      </c>
      <c r="BF296" t="str">
        <f>HYPERLINK("http://dx.doi.org/10.1017/S0954102007000314","http://dx.doi.org/10.1017/S0954102007000314")</f>
        <v>http://dx.doi.org/10.1017/S0954102007000314</v>
      </c>
      <c r="BG296" t="s">
        <v>74</v>
      </c>
      <c r="BH296" t="s">
        <v>74</v>
      </c>
      <c r="BI296">
        <v>6</v>
      </c>
      <c r="BJ296" t="s">
        <v>4855</v>
      </c>
      <c r="BK296" t="s">
        <v>535</v>
      </c>
      <c r="BL296" t="s">
        <v>4856</v>
      </c>
      <c r="BM296" t="s">
        <v>4857</v>
      </c>
      <c r="BN296" t="s">
        <v>74</v>
      </c>
      <c r="BO296" t="s">
        <v>74</v>
      </c>
      <c r="BP296" t="s">
        <v>74</v>
      </c>
      <c r="BQ296" t="s">
        <v>74</v>
      </c>
      <c r="BR296" t="s">
        <v>101</v>
      </c>
      <c r="BS296" t="s">
        <v>4991</v>
      </c>
      <c r="BT296" t="str">
        <f>HYPERLINK("https%3A%2F%2Fwww.webofscience.com%2Fwos%2Fwoscc%2Ffull-record%2FWOS:000247196900012","View Full Record in Web of Science")</f>
        <v>View Full Record in Web of Science</v>
      </c>
    </row>
    <row r="297" spans="1:72" x14ac:dyDescent="0.15">
      <c r="A297" t="s">
        <v>72</v>
      </c>
      <c r="B297" t="s">
        <v>4992</v>
      </c>
      <c r="C297" t="s">
        <v>74</v>
      </c>
      <c r="D297" t="s">
        <v>74</v>
      </c>
      <c r="E297" t="s">
        <v>74</v>
      </c>
      <c r="F297" t="s">
        <v>4993</v>
      </c>
      <c r="G297" t="s">
        <v>74</v>
      </c>
      <c r="H297" t="s">
        <v>74</v>
      </c>
      <c r="I297" t="s">
        <v>4994</v>
      </c>
      <c r="J297" t="s">
        <v>4849</v>
      </c>
      <c r="K297" t="s">
        <v>74</v>
      </c>
      <c r="L297" t="s">
        <v>74</v>
      </c>
      <c r="M297" t="s">
        <v>78</v>
      </c>
      <c r="N297" t="s">
        <v>514</v>
      </c>
      <c r="O297" t="s">
        <v>4867</v>
      </c>
      <c r="P297" t="s">
        <v>4868</v>
      </c>
      <c r="Q297" t="s">
        <v>4869</v>
      </c>
      <c r="R297" t="s">
        <v>74</v>
      </c>
      <c r="S297" t="s">
        <v>74</v>
      </c>
      <c r="T297" t="s">
        <v>4995</v>
      </c>
      <c r="U297" t="s">
        <v>4996</v>
      </c>
      <c r="V297" t="s">
        <v>4997</v>
      </c>
      <c r="W297" t="s">
        <v>4998</v>
      </c>
      <c r="X297" t="s">
        <v>4999</v>
      </c>
      <c r="Y297" t="s">
        <v>5000</v>
      </c>
      <c r="Z297" t="s">
        <v>5001</v>
      </c>
      <c r="AA297" t="s">
        <v>5002</v>
      </c>
      <c r="AB297" t="s">
        <v>5003</v>
      </c>
      <c r="AC297" t="s">
        <v>2461</v>
      </c>
      <c r="AD297" t="s">
        <v>361</v>
      </c>
      <c r="AE297" t="s">
        <v>74</v>
      </c>
      <c r="AF297" t="s">
        <v>74</v>
      </c>
      <c r="AG297">
        <v>38</v>
      </c>
      <c r="AH297">
        <v>25</v>
      </c>
      <c r="AI297">
        <v>29</v>
      </c>
      <c r="AJ297">
        <v>0</v>
      </c>
      <c r="AK297">
        <v>11</v>
      </c>
      <c r="AL297" t="s">
        <v>4219</v>
      </c>
      <c r="AM297" t="s">
        <v>1593</v>
      </c>
      <c r="AN297" t="s">
        <v>4220</v>
      </c>
      <c r="AO297" t="s">
        <v>4851</v>
      </c>
      <c r="AP297" t="s">
        <v>74</v>
      </c>
      <c r="AQ297" t="s">
        <v>74</v>
      </c>
      <c r="AR297" t="s">
        <v>4852</v>
      </c>
      <c r="AS297" t="s">
        <v>4853</v>
      </c>
      <c r="AT297" t="s">
        <v>4839</v>
      </c>
      <c r="AU297">
        <v>2007</v>
      </c>
      <c r="AV297">
        <v>19</v>
      </c>
      <c r="AW297">
        <v>2</v>
      </c>
      <c r="AX297" t="s">
        <v>74</v>
      </c>
      <c r="AY297" t="s">
        <v>74</v>
      </c>
      <c r="AZ297" t="s">
        <v>74</v>
      </c>
      <c r="BA297" t="s">
        <v>74</v>
      </c>
      <c r="BB297">
        <v>245</v>
      </c>
      <c r="BC297">
        <v>252</v>
      </c>
      <c r="BD297" t="s">
        <v>74</v>
      </c>
      <c r="BE297" t="s">
        <v>5004</v>
      </c>
      <c r="BF297" t="str">
        <f>HYPERLINK("http://dx.doi.org/10.1017/S0954102007000326","http://dx.doi.org/10.1017/S0954102007000326")</f>
        <v>http://dx.doi.org/10.1017/S0954102007000326</v>
      </c>
      <c r="BG297" t="s">
        <v>74</v>
      </c>
      <c r="BH297" t="s">
        <v>74</v>
      </c>
      <c r="BI297">
        <v>8</v>
      </c>
      <c r="BJ297" t="s">
        <v>4855</v>
      </c>
      <c r="BK297" t="s">
        <v>535</v>
      </c>
      <c r="BL297" t="s">
        <v>4856</v>
      </c>
      <c r="BM297" t="s">
        <v>4857</v>
      </c>
      <c r="BN297" t="s">
        <v>74</v>
      </c>
      <c r="BO297" t="s">
        <v>74</v>
      </c>
      <c r="BP297" t="s">
        <v>74</v>
      </c>
      <c r="BQ297" t="s">
        <v>74</v>
      </c>
      <c r="BR297" t="s">
        <v>101</v>
      </c>
      <c r="BS297" t="s">
        <v>5005</v>
      </c>
      <c r="BT297" t="str">
        <f>HYPERLINK("https%3A%2F%2Fwww.webofscience.com%2Fwos%2Fwoscc%2Ffull-record%2FWOS:000247196900013","View Full Record in Web of Science")</f>
        <v>View Full Record in Web of Science</v>
      </c>
    </row>
    <row r="298" spans="1:72" x14ac:dyDescent="0.15">
      <c r="A298" t="s">
        <v>72</v>
      </c>
      <c r="B298" t="s">
        <v>5006</v>
      </c>
      <c r="C298" t="s">
        <v>74</v>
      </c>
      <c r="D298" t="s">
        <v>74</v>
      </c>
      <c r="E298" t="s">
        <v>74</v>
      </c>
      <c r="F298" t="s">
        <v>5007</v>
      </c>
      <c r="G298" t="s">
        <v>74</v>
      </c>
      <c r="H298" t="s">
        <v>74</v>
      </c>
      <c r="I298" t="s">
        <v>5008</v>
      </c>
      <c r="J298" t="s">
        <v>4849</v>
      </c>
      <c r="K298" t="s">
        <v>74</v>
      </c>
      <c r="L298" t="s">
        <v>74</v>
      </c>
      <c r="M298" t="s">
        <v>78</v>
      </c>
      <c r="N298" t="s">
        <v>514</v>
      </c>
      <c r="O298" t="s">
        <v>4867</v>
      </c>
      <c r="P298" t="s">
        <v>4868</v>
      </c>
      <c r="Q298" t="s">
        <v>4869</v>
      </c>
      <c r="R298" t="s">
        <v>74</v>
      </c>
      <c r="S298" t="s">
        <v>74</v>
      </c>
      <c r="T298" t="s">
        <v>5009</v>
      </c>
      <c r="U298" t="s">
        <v>5010</v>
      </c>
      <c r="V298" t="s">
        <v>5011</v>
      </c>
      <c r="W298" t="s">
        <v>5012</v>
      </c>
      <c r="X298" t="s">
        <v>5013</v>
      </c>
      <c r="Y298" t="s">
        <v>5014</v>
      </c>
      <c r="Z298" t="s">
        <v>5015</v>
      </c>
      <c r="AA298" t="s">
        <v>74</v>
      </c>
      <c r="AB298" t="s">
        <v>74</v>
      </c>
      <c r="AC298" t="s">
        <v>74</v>
      </c>
      <c r="AD298" t="s">
        <v>74</v>
      </c>
      <c r="AE298" t="s">
        <v>74</v>
      </c>
      <c r="AF298" t="s">
        <v>74</v>
      </c>
      <c r="AG298">
        <v>107</v>
      </c>
      <c r="AH298">
        <v>62</v>
      </c>
      <c r="AI298">
        <v>73</v>
      </c>
      <c r="AJ298">
        <v>0</v>
      </c>
      <c r="AK298">
        <v>32</v>
      </c>
      <c r="AL298" t="s">
        <v>4219</v>
      </c>
      <c r="AM298" t="s">
        <v>1593</v>
      </c>
      <c r="AN298" t="s">
        <v>4220</v>
      </c>
      <c r="AO298" t="s">
        <v>4851</v>
      </c>
      <c r="AP298" t="s">
        <v>74</v>
      </c>
      <c r="AQ298" t="s">
        <v>74</v>
      </c>
      <c r="AR298" t="s">
        <v>4852</v>
      </c>
      <c r="AS298" t="s">
        <v>4853</v>
      </c>
      <c r="AT298" t="s">
        <v>4839</v>
      </c>
      <c r="AU298">
        <v>2007</v>
      </c>
      <c r="AV298">
        <v>19</v>
      </c>
      <c r="AW298">
        <v>2</v>
      </c>
      <c r="AX298" t="s">
        <v>74</v>
      </c>
      <c r="AY298" t="s">
        <v>74</v>
      </c>
      <c r="AZ298" t="s">
        <v>74</v>
      </c>
      <c r="BA298" t="s">
        <v>74</v>
      </c>
      <c r="BB298">
        <v>253</v>
      </c>
      <c r="BC298">
        <v>266</v>
      </c>
      <c r="BD298" t="s">
        <v>74</v>
      </c>
      <c r="BE298" t="s">
        <v>5016</v>
      </c>
      <c r="BF298" t="str">
        <f>HYPERLINK("http://dx.doi.org/10.1017/S0954102007000363","http://dx.doi.org/10.1017/S0954102007000363")</f>
        <v>http://dx.doi.org/10.1017/S0954102007000363</v>
      </c>
      <c r="BG298" t="s">
        <v>74</v>
      </c>
      <c r="BH298" t="s">
        <v>74</v>
      </c>
      <c r="BI298">
        <v>14</v>
      </c>
      <c r="BJ298" t="s">
        <v>4855</v>
      </c>
      <c r="BK298" t="s">
        <v>535</v>
      </c>
      <c r="BL298" t="s">
        <v>4856</v>
      </c>
      <c r="BM298" t="s">
        <v>4857</v>
      </c>
      <c r="BN298" t="s">
        <v>74</v>
      </c>
      <c r="BO298" t="s">
        <v>74</v>
      </c>
      <c r="BP298" t="s">
        <v>74</v>
      </c>
      <c r="BQ298" t="s">
        <v>74</v>
      </c>
      <c r="BR298" t="s">
        <v>101</v>
      </c>
      <c r="BS298" t="s">
        <v>5017</v>
      </c>
      <c r="BT298" t="str">
        <f>HYPERLINK("https%3A%2F%2Fwww.webofscience.com%2Fwos%2Fwoscc%2Ffull-record%2FWOS:000247196900014","View Full Record in Web of Science")</f>
        <v>View Full Record in Web of Science</v>
      </c>
    </row>
    <row r="299" spans="1:72" x14ac:dyDescent="0.15">
      <c r="A299" t="s">
        <v>72</v>
      </c>
      <c r="B299" t="s">
        <v>5018</v>
      </c>
      <c r="C299" t="s">
        <v>74</v>
      </c>
      <c r="D299" t="s">
        <v>74</v>
      </c>
      <c r="E299" t="s">
        <v>74</v>
      </c>
      <c r="F299" t="s">
        <v>5019</v>
      </c>
      <c r="G299" t="s">
        <v>74</v>
      </c>
      <c r="H299" t="s">
        <v>74</v>
      </c>
      <c r="I299" t="s">
        <v>5020</v>
      </c>
      <c r="J299" t="s">
        <v>4849</v>
      </c>
      <c r="K299" t="s">
        <v>74</v>
      </c>
      <c r="L299" t="s">
        <v>74</v>
      </c>
      <c r="M299" t="s">
        <v>78</v>
      </c>
      <c r="N299" t="s">
        <v>514</v>
      </c>
      <c r="O299" t="s">
        <v>4867</v>
      </c>
      <c r="P299" t="s">
        <v>4868</v>
      </c>
      <c r="Q299" t="s">
        <v>4869</v>
      </c>
      <c r="R299" t="s">
        <v>74</v>
      </c>
      <c r="S299" t="s">
        <v>74</v>
      </c>
      <c r="T299" t="s">
        <v>5021</v>
      </c>
      <c r="U299" t="s">
        <v>5022</v>
      </c>
      <c r="V299" t="s">
        <v>5023</v>
      </c>
      <c r="W299" t="s">
        <v>4766</v>
      </c>
      <c r="X299" t="s">
        <v>1988</v>
      </c>
      <c r="Y299" t="s">
        <v>5024</v>
      </c>
      <c r="Z299" t="s">
        <v>5025</v>
      </c>
      <c r="AA299" t="s">
        <v>74</v>
      </c>
      <c r="AB299" t="s">
        <v>74</v>
      </c>
      <c r="AC299" t="s">
        <v>480</v>
      </c>
      <c r="AD299" t="s">
        <v>140</v>
      </c>
      <c r="AE299" t="s">
        <v>74</v>
      </c>
      <c r="AF299" t="s">
        <v>74</v>
      </c>
      <c r="AG299">
        <v>19</v>
      </c>
      <c r="AH299">
        <v>7</v>
      </c>
      <c r="AI299">
        <v>7</v>
      </c>
      <c r="AJ299">
        <v>1</v>
      </c>
      <c r="AK299">
        <v>13</v>
      </c>
      <c r="AL299" t="s">
        <v>4219</v>
      </c>
      <c r="AM299" t="s">
        <v>1593</v>
      </c>
      <c r="AN299" t="s">
        <v>4220</v>
      </c>
      <c r="AO299" t="s">
        <v>4851</v>
      </c>
      <c r="AP299" t="s">
        <v>4877</v>
      </c>
      <c r="AQ299" t="s">
        <v>74</v>
      </c>
      <c r="AR299" t="s">
        <v>4852</v>
      </c>
      <c r="AS299" t="s">
        <v>4853</v>
      </c>
      <c r="AT299" t="s">
        <v>4839</v>
      </c>
      <c r="AU299">
        <v>2007</v>
      </c>
      <c r="AV299">
        <v>19</v>
      </c>
      <c r="AW299">
        <v>2</v>
      </c>
      <c r="AX299" t="s">
        <v>74</v>
      </c>
      <c r="AY299" t="s">
        <v>74</v>
      </c>
      <c r="AZ299" t="s">
        <v>74</v>
      </c>
      <c r="BA299" t="s">
        <v>74</v>
      </c>
      <c r="BB299">
        <v>267</v>
      </c>
      <c r="BC299">
        <v>270</v>
      </c>
      <c r="BD299" t="s">
        <v>74</v>
      </c>
      <c r="BE299" t="s">
        <v>5026</v>
      </c>
      <c r="BF299" t="str">
        <f>HYPERLINK("http://dx.doi.org/10.1017/S0954102007000338","http://dx.doi.org/10.1017/S0954102007000338")</f>
        <v>http://dx.doi.org/10.1017/S0954102007000338</v>
      </c>
      <c r="BG299" t="s">
        <v>74</v>
      </c>
      <c r="BH299" t="s">
        <v>74</v>
      </c>
      <c r="BI299">
        <v>4</v>
      </c>
      <c r="BJ299" t="s">
        <v>4855</v>
      </c>
      <c r="BK299" t="s">
        <v>535</v>
      </c>
      <c r="BL299" t="s">
        <v>4856</v>
      </c>
      <c r="BM299" t="s">
        <v>4857</v>
      </c>
      <c r="BN299" t="s">
        <v>74</v>
      </c>
      <c r="BO299" t="s">
        <v>74</v>
      </c>
      <c r="BP299" t="s">
        <v>74</v>
      </c>
      <c r="BQ299" t="s">
        <v>74</v>
      </c>
      <c r="BR299" t="s">
        <v>101</v>
      </c>
      <c r="BS299" t="s">
        <v>5027</v>
      </c>
      <c r="BT299" t="str">
        <f>HYPERLINK("https%3A%2F%2Fwww.webofscience.com%2Fwos%2Fwoscc%2Ffull-record%2FWOS:000247196900015","View Full Record in Web of Science")</f>
        <v>View Full Record in Web of Science</v>
      </c>
    </row>
    <row r="300" spans="1:72" x14ac:dyDescent="0.15">
      <c r="A300" t="s">
        <v>72</v>
      </c>
      <c r="B300" t="s">
        <v>5028</v>
      </c>
      <c r="C300" t="s">
        <v>74</v>
      </c>
      <c r="D300" t="s">
        <v>74</v>
      </c>
      <c r="E300" t="s">
        <v>74</v>
      </c>
      <c r="F300" t="s">
        <v>5029</v>
      </c>
      <c r="G300" t="s">
        <v>74</v>
      </c>
      <c r="H300" t="s">
        <v>74</v>
      </c>
      <c r="I300" t="s">
        <v>5030</v>
      </c>
      <c r="J300" t="s">
        <v>4849</v>
      </c>
      <c r="K300" t="s">
        <v>74</v>
      </c>
      <c r="L300" t="s">
        <v>74</v>
      </c>
      <c r="M300" t="s">
        <v>78</v>
      </c>
      <c r="N300" t="s">
        <v>514</v>
      </c>
      <c r="O300" t="s">
        <v>4867</v>
      </c>
      <c r="P300" t="s">
        <v>4868</v>
      </c>
      <c r="Q300" t="s">
        <v>4869</v>
      </c>
      <c r="R300" t="s">
        <v>74</v>
      </c>
      <c r="S300" t="s">
        <v>74</v>
      </c>
      <c r="T300" t="s">
        <v>5031</v>
      </c>
      <c r="U300" t="s">
        <v>5032</v>
      </c>
      <c r="V300" t="s">
        <v>5033</v>
      </c>
      <c r="W300" t="s">
        <v>5034</v>
      </c>
      <c r="X300" t="s">
        <v>5035</v>
      </c>
      <c r="Y300" t="s">
        <v>5036</v>
      </c>
      <c r="Z300" t="s">
        <v>738</v>
      </c>
      <c r="AA300" t="s">
        <v>5037</v>
      </c>
      <c r="AB300" t="s">
        <v>5038</v>
      </c>
      <c r="AC300" t="s">
        <v>74</v>
      </c>
      <c r="AD300" t="s">
        <v>74</v>
      </c>
      <c r="AE300" t="s">
        <v>74</v>
      </c>
      <c r="AF300" t="s">
        <v>74</v>
      </c>
      <c r="AG300">
        <v>40</v>
      </c>
      <c r="AH300">
        <v>12</v>
      </c>
      <c r="AI300">
        <v>15</v>
      </c>
      <c r="AJ300">
        <v>0</v>
      </c>
      <c r="AK300">
        <v>16</v>
      </c>
      <c r="AL300" t="s">
        <v>4219</v>
      </c>
      <c r="AM300" t="s">
        <v>1593</v>
      </c>
      <c r="AN300" t="s">
        <v>4220</v>
      </c>
      <c r="AO300" t="s">
        <v>4851</v>
      </c>
      <c r="AP300" t="s">
        <v>74</v>
      </c>
      <c r="AQ300" t="s">
        <v>74</v>
      </c>
      <c r="AR300" t="s">
        <v>4852</v>
      </c>
      <c r="AS300" t="s">
        <v>4853</v>
      </c>
      <c r="AT300" t="s">
        <v>4839</v>
      </c>
      <c r="AU300">
        <v>2007</v>
      </c>
      <c r="AV300">
        <v>19</v>
      </c>
      <c r="AW300">
        <v>2</v>
      </c>
      <c r="AX300" t="s">
        <v>74</v>
      </c>
      <c r="AY300" t="s">
        <v>74</v>
      </c>
      <c r="AZ300" t="s">
        <v>74</v>
      </c>
      <c r="BA300" t="s">
        <v>74</v>
      </c>
      <c r="BB300">
        <v>271</v>
      </c>
      <c r="BC300">
        <v>278</v>
      </c>
      <c r="BD300" t="s">
        <v>74</v>
      </c>
      <c r="BE300" t="s">
        <v>5039</v>
      </c>
      <c r="BF300" t="str">
        <f>HYPERLINK("http://dx.doi.org/10.1017/S095410200700034X","http://dx.doi.org/10.1017/S095410200700034X")</f>
        <v>http://dx.doi.org/10.1017/S095410200700034X</v>
      </c>
      <c r="BG300" t="s">
        <v>74</v>
      </c>
      <c r="BH300" t="s">
        <v>74</v>
      </c>
      <c r="BI300">
        <v>8</v>
      </c>
      <c r="BJ300" t="s">
        <v>4855</v>
      </c>
      <c r="BK300" t="s">
        <v>535</v>
      </c>
      <c r="BL300" t="s">
        <v>4856</v>
      </c>
      <c r="BM300" t="s">
        <v>4857</v>
      </c>
      <c r="BN300" t="s">
        <v>74</v>
      </c>
      <c r="BO300" t="s">
        <v>74</v>
      </c>
      <c r="BP300" t="s">
        <v>74</v>
      </c>
      <c r="BQ300" t="s">
        <v>74</v>
      </c>
      <c r="BR300" t="s">
        <v>101</v>
      </c>
      <c r="BS300" t="s">
        <v>5040</v>
      </c>
      <c r="BT300" t="str">
        <f>HYPERLINK("https%3A%2F%2Fwww.webofscience.com%2Fwos%2Fwoscc%2Ffull-record%2FWOS:000247196900016","View Full Record in Web of Science")</f>
        <v>View Full Record in Web of Science</v>
      </c>
    </row>
    <row r="301" spans="1:72" x14ac:dyDescent="0.15">
      <c r="A301" t="s">
        <v>72</v>
      </c>
      <c r="B301" t="s">
        <v>5041</v>
      </c>
      <c r="C301" t="s">
        <v>74</v>
      </c>
      <c r="D301" t="s">
        <v>74</v>
      </c>
      <c r="E301" t="s">
        <v>74</v>
      </c>
      <c r="F301" t="s">
        <v>5042</v>
      </c>
      <c r="G301" t="s">
        <v>74</v>
      </c>
      <c r="H301" t="s">
        <v>74</v>
      </c>
      <c r="I301" t="s">
        <v>5043</v>
      </c>
      <c r="J301" t="s">
        <v>4849</v>
      </c>
      <c r="K301" t="s">
        <v>74</v>
      </c>
      <c r="L301" t="s">
        <v>74</v>
      </c>
      <c r="M301" t="s">
        <v>78</v>
      </c>
      <c r="N301" t="s">
        <v>514</v>
      </c>
      <c r="O301" t="s">
        <v>4867</v>
      </c>
      <c r="P301" t="s">
        <v>4868</v>
      </c>
      <c r="Q301" t="s">
        <v>4869</v>
      </c>
      <c r="R301" t="s">
        <v>74</v>
      </c>
      <c r="S301" t="s">
        <v>74</v>
      </c>
      <c r="T301" t="s">
        <v>74</v>
      </c>
      <c r="U301" t="s">
        <v>5044</v>
      </c>
      <c r="V301" t="s">
        <v>74</v>
      </c>
      <c r="W301" t="s">
        <v>5045</v>
      </c>
      <c r="X301" t="s">
        <v>5046</v>
      </c>
      <c r="Y301" t="s">
        <v>5047</v>
      </c>
      <c r="Z301" t="s">
        <v>5048</v>
      </c>
      <c r="AA301" t="s">
        <v>5049</v>
      </c>
      <c r="AB301" t="s">
        <v>74</v>
      </c>
      <c r="AC301" t="s">
        <v>74</v>
      </c>
      <c r="AD301" t="s">
        <v>74</v>
      </c>
      <c r="AE301" t="s">
        <v>74</v>
      </c>
      <c r="AF301" t="s">
        <v>74</v>
      </c>
      <c r="AG301">
        <v>18</v>
      </c>
      <c r="AH301">
        <v>0</v>
      </c>
      <c r="AI301">
        <v>0</v>
      </c>
      <c r="AJ301">
        <v>0</v>
      </c>
      <c r="AK301">
        <v>6</v>
      </c>
      <c r="AL301" t="s">
        <v>4219</v>
      </c>
      <c r="AM301" t="s">
        <v>1593</v>
      </c>
      <c r="AN301" t="s">
        <v>4220</v>
      </c>
      <c r="AO301" t="s">
        <v>4851</v>
      </c>
      <c r="AP301" t="s">
        <v>4877</v>
      </c>
      <c r="AQ301" t="s">
        <v>74</v>
      </c>
      <c r="AR301" t="s">
        <v>4852</v>
      </c>
      <c r="AS301" t="s">
        <v>4853</v>
      </c>
      <c r="AT301" t="s">
        <v>4839</v>
      </c>
      <c r="AU301">
        <v>2007</v>
      </c>
      <c r="AV301">
        <v>19</v>
      </c>
      <c r="AW301">
        <v>2</v>
      </c>
      <c r="AX301" t="s">
        <v>74</v>
      </c>
      <c r="AY301" t="s">
        <v>74</v>
      </c>
      <c r="AZ301" t="s">
        <v>74</v>
      </c>
      <c r="BA301" t="s">
        <v>74</v>
      </c>
      <c r="BB301">
        <v>279</v>
      </c>
      <c r="BC301">
        <v>280</v>
      </c>
      <c r="BD301" t="s">
        <v>74</v>
      </c>
      <c r="BE301" t="s">
        <v>5050</v>
      </c>
      <c r="BF301" t="str">
        <f>HYPERLINK("http://dx.doi.org/10.1017/S0954102007000399","http://dx.doi.org/10.1017/S0954102007000399")</f>
        <v>http://dx.doi.org/10.1017/S0954102007000399</v>
      </c>
      <c r="BG301" t="s">
        <v>74</v>
      </c>
      <c r="BH301" t="s">
        <v>74</v>
      </c>
      <c r="BI301">
        <v>2</v>
      </c>
      <c r="BJ301" t="s">
        <v>4855</v>
      </c>
      <c r="BK301" t="s">
        <v>535</v>
      </c>
      <c r="BL301" t="s">
        <v>4856</v>
      </c>
      <c r="BM301" t="s">
        <v>4857</v>
      </c>
      <c r="BN301" t="s">
        <v>74</v>
      </c>
      <c r="BO301" t="s">
        <v>1249</v>
      </c>
      <c r="BP301" t="s">
        <v>74</v>
      </c>
      <c r="BQ301" t="s">
        <v>74</v>
      </c>
      <c r="BR301" t="s">
        <v>101</v>
      </c>
      <c r="BS301" t="s">
        <v>5051</v>
      </c>
      <c r="BT301" t="str">
        <f>HYPERLINK("https%3A%2F%2Fwww.webofscience.com%2Fwos%2Fwoscc%2Ffull-record%2FWOS:000247196900017","View Full Record in Web of Science")</f>
        <v>View Full Record in Web of Science</v>
      </c>
    </row>
    <row r="302" spans="1:72" x14ac:dyDescent="0.15">
      <c r="A302" t="s">
        <v>72</v>
      </c>
      <c r="B302" t="s">
        <v>5052</v>
      </c>
      <c r="C302" t="s">
        <v>74</v>
      </c>
      <c r="D302" t="s">
        <v>74</v>
      </c>
      <c r="E302" t="s">
        <v>74</v>
      </c>
      <c r="F302" t="s">
        <v>5053</v>
      </c>
      <c r="G302" t="s">
        <v>74</v>
      </c>
      <c r="H302" t="s">
        <v>74</v>
      </c>
      <c r="I302" t="s">
        <v>5054</v>
      </c>
      <c r="J302" t="s">
        <v>1170</v>
      </c>
      <c r="K302" t="s">
        <v>74</v>
      </c>
      <c r="L302" t="s">
        <v>74</v>
      </c>
      <c r="M302" t="s">
        <v>78</v>
      </c>
      <c r="N302" t="s">
        <v>79</v>
      </c>
      <c r="O302" t="s">
        <v>74</v>
      </c>
      <c r="P302" t="s">
        <v>74</v>
      </c>
      <c r="Q302" t="s">
        <v>74</v>
      </c>
      <c r="R302" t="s">
        <v>74</v>
      </c>
      <c r="S302" t="s">
        <v>74</v>
      </c>
      <c r="T302" t="s">
        <v>74</v>
      </c>
      <c r="U302" t="s">
        <v>5055</v>
      </c>
      <c r="V302" t="s">
        <v>5056</v>
      </c>
      <c r="W302" t="s">
        <v>5057</v>
      </c>
      <c r="X302" t="s">
        <v>5058</v>
      </c>
      <c r="Y302" t="s">
        <v>5059</v>
      </c>
      <c r="Z302" t="s">
        <v>5060</v>
      </c>
      <c r="AA302" t="s">
        <v>74</v>
      </c>
      <c r="AB302" t="s">
        <v>5061</v>
      </c>
      <c r="AC302" t="s">
        <v>74</v>
      </c>
      <c r="AD302" t="s">
        <v>74</v>
      </c>
      <c r="AE302" t="s">
        <v>74</v>
      </c>
      <c r="AF302" t="s">
        <v>74</v>
      </c>
      <c r="AG302">
        <v>40</v>
      </c>
      <c r="AH302">
        <v>88</v>
      </c>
      <c r="AI302">
        <v>98</v>
      </c>
      <c r="AJ302">
        <v>1</v>
      </c>
      <c r="AK302">
        <v>17</v>
      </c>
      <c r="AL302" t="s">
        <v>1179</v>
      </c>
      <c r="AM302" t="s">
        <v>142</v>
      </c>
      <c r="AN302" t="s">
        <v>1180</v>
      </c>
      <c r="AO302" t="s">
        <v>1181</v>
      </c>
      <c r="AP302" t="s">
        <v>74</v>
      </c>
      <c r="AQ302" t="s">
        <v>74</v>
      </c>
      <c r="AR302" t="s">
        <v>1182</v>
      </c>
      <c r="AS302" t="s">
        <v>1183</v>
      </c>
      <c r="AT302" t="s">
        <v>4839</v>
      </c>
      <c r="AU302">
        <v>2007</v>
      </c>
      <c r="AV302">
        <v>73</v>
      </c>
      <c r="AW302">
        <v>11</v>
      </c>
      <c r="AX302" t="s">
        <v>74</v>
      </c>
      <c r="AY302" t="s">
        <v>74</v>
      </c>
      <c r="AZ302" t="s">
        <v>74</v>
      </c>
      <c r="BA302" t="s">
        <v>74</v>
      </c>
      <c r="BB302">
        <v>3497</v>
      </c>
      <c r="BC302">
        <v>3504</v>
      </c>
      <c r="BD302" t="s">
        <v>74</v>
      </c>
      <c r="BE302" t="s">
        <v>5062</v>
      </c>
      <c r="BF302" t="str">
        <f>HYPERLINK("http://dx.doi.org/10.1128/AEM.02656-06","http://dx.doi.org/10.1128/AEM.02656-06")</f>
        <v>http://dx.doi.org/10.1128/AEM.02656-06</v>
      </c>
      <c r="BG302" t="s">
        <v>74</v>
      </c>
      <c r="BH302" t="s">
        <v>74</v>
      </c>
      <c r="BI302">
        <v>8</v>
      </c>
      <c r="BJ302" t="s">
        <v>1186</v>
      </c>
      <c r="BK302" t="s">
        <v>98</v>
      </c>
      <c r="BL302" t="s">
        <v>1186</v>
      </c>
      <c r="BM302" t="s">
        <v>5063</v>
      </c>
      <c r="BN302">
        <v>17416689</v>
      </c>
      <c r="BO302" t="s">
        <v>5064</v>
      </c>
      <c r="BP302" t="s">
        <v>74</v>
      </c>
      <c r="BQ302" t="s">
        <v>74</v>
      </c>
      <c r="BR302" t="s">
        <v>101</v>
      </c>
      <c r="BS302" t="s">
        <v>5065</v>
      </c>
      <c r="BT302" t="str">
        <f>HYPERLINK("https%3A%2F%2Fwww.webofscience.com%2Fwos%2Fwoscc%2Ffull-record%2FWOS:000247016600006","View Full Record in Web of Science")</f>
        <v>View Full Record in Web of Science</v>
      </c>
    </row>
    <row r="303" spans="1:72" x14ac:dyDescent="0.15">
      <c r="A303" t="s">
        <v>72</v>
      </c>
      <c r="B303" t="s">
        <v>5066</v>
      </c>
      <c r="C303" t="s">
        <v>74</v>
      </c>
      <c r="D303" t="s">
        <v>74</v>
      </c>
      <c r="E303" t="s">
        <v>74</v>
      </c>
      <c r="F303" t="s">
        <v>5067</v>
      </c>
      <c r="G303" t="s">
        <v>74</v>
      </c>
      <c r="H303" t="s">
        <v>74</v>
      </c>
      <c r="I303" t="s">
        <v>5068</v>
      </c>
      <c r="J303" t="s">
        <v>5069</v>
      </c>
      <c r="K303" t="s">
        <v>74</v>
      </c>
      <c r="L303" t="s">
        <v>74</v>
      </c>
      <c r="M303" t="s">
        <v>78</v>
      </c>
      <c r="N303" t="s">
        <v>79</v>
      </c>
      <c r="O303" t="s">
        <v>74</v>
      </c>
      <c r="P303" t="s">
        <v>74</v>
      </c>
      <c r="Q303" t="s">
        <v>74</v>
      </c>
      <c r="R303" t="s">
        <v>74</v>
      </c>
      <c r="S303" t="s">
        <v>74</v>
      </c>
      <c r="T303" t="s">
        <v>5070</v>
      </c>
      <c r="U303" t="s">
        <v>5071</v>
      </c>
      <c r="V303" t="s">
        <v>5072</v>
      </c>
      <c r="W303" t="s">
        <v>5073</v>
      </c>
      <c r="X303" t="s">
        <v>5074</v>
      </c>
      <c r="Y303" t="s">
        <v>5075</v>
      </c>
      <c r="Z303" t="s">
        <v>5076</v>
      </c>
      <c r="AA303" t="s">
        <v>74</v>
      </c>
      <c r="AB303" t="s">
        <v>74</v>
      </c>
      <c r="AC303" t="s">
        <v>74</v>
      </c>
      <c r="AD303" t="s">
        <v>74</v>
      </c>
      <c r="AE303" t="s">
        <v>74</v>
      </c>
      <c r="AF303" t="s">
        <v>74</v>
      </c>
      <c r="AG303">
        <v>23</v>
      </c>
      <c r="AH303">
        <v>40</v>
      </c>
      <c r="AI303">
        <v>59</v>
      </c>
      <c r="AJ303">
        <v>1</v>
      </c>
      <c r="AK303">
        <v>27</v>
      </c>
      <c r="AL303" t="s">
        <v>272</v>
      </c>
      <c r="AM303" t="s">
        <v>273</v>
      </c>
      <c r="AN303" t="s">
        <v>274</v>
      </c>
      <c r="AO303" t="s">
        <v>5077</v>
      </c>
      <c r="AP303" t="s">
        <v>5078</v>
      </c>
      <c r="AQ303" t="s">
        <v>74</v>
      </c>
      <c r="AR303" t="s">
        <v>5069</v>
      </c>
      <c r="AS303" t="s">
        <v>5079</v>
      </c>
      <c r="AT303" t="s">
        <v>5080</v>
      </c>
      <c r="AU303">
        <v>2007</v>
      </c>
      <c r="AV303">
        <v>266</v>
      </c>
      <c r="AW303" t="s">
        <v>4803</v>
      </c>
      <c r="AX303" t="s">
        <v>74</v>
      </c>
      <c r="AY303" t="s">
        <v>74</v>
      </c>
      <c r="AZ303" t="s">
        <v>74</v>
      </c>
      <c r="BA303" t="s">
        <v>74</v>
      </c>
      <c r="BB303">
        <v>219</v>
      </c>
      <c r="BC303">
        <v>225</v>
      </c>
      <c r="BD303" t="s">
        <v>74</v>
      </c>
      <c r="BE303" t="s">
        <v>5081</v>
      </c>
      <c r="BF303" t="str">
        <f>HYPERLINK("http://dx.doi.org/10.1016/j.aquaculture.2006.12.043","http://dx.doi.org/10.1016/j.aquaculture.2006.12.043")</f>
        <v>http://dx.doi.org/10.1016/j.aquaculture.2006.12.043</v>
      </c>
      <c r="BG303" t="s">
        <v>74</v>
      </c>
      <c r="BH303" t="s">
        <v>74</v>
      </c>
      <c r="BI303">
        <v>7</v>
      </c>
      <c r="BJ303" t="s">
        <v>2610</v>
      </c>
      <c r="BK303" t="s">
        <v>98</v>
      </c>
      <c r="BL303" t="s">
        <v>2610</v>
      </c>
      <c r="BM303" t="s">
        <v>5082</v>
      </c>
      <c r="BN303" t="s">
        <v>74</v>
      </c>
      <c r="BO303" t="s">
        <v>74</v>
      </c>
      <c r="BP303" t="s">
        <v>74</v>
      </c>
      <c r="BQ303" t="s">
        <v>74</v>
      </c>
      <c r="BR303" t="s">
        <v>101</v>
      </c>
      <c r="BS303" t="s">
        <v>5083</v>
      </c>
      <c r="BT303" t="str">
        <f>HYPERLINK("https%3A%2F%2Fwww.webofscience.com%2Fwos%2Fwoscc%2Ffull-record%2FWOS:000246655600024","View Full Record in Web of Science")</f>
        <v>View Full Record in Web of Science</v>
      </c>
    </row>
    <row r="304" spans="1:72" x14ac:dyDescent="0.15">
      <c r="A304" t="s">
        <v>72</v>
      </c>
      <c r="B304" t="s">
        <v>5084</v>
      </c>
      <c r="C304" t="s">
        <v>74</v>
      </c>
      <c r="D304" t="s">
        <v>74</v>
      </c>
      <c r="E304" t="s">
        <v>74</v>
      </c>
      <c r="F304" t="s">
        <v>5085</v>
      </c>
      <c r="G304" t="s">
        <v>74</v>
      </c>
      <c r="H304" t="s">
        <v>74</v>
      </c>
      <c r="I304" t="s">
        <v>5086</v>
      </c>
      <c r="J304" t="s">
        <v>1450</v>
      </c>
      <c r="K304" t="s">
        <v>74</v>
      </c>
      <c r="L304" t="s">
        <v>74</v>
      </c>
      <c r="M304" t="s">
        <v>78</v>
      </c>
      <c r="N304" t="s">
        <v>79</v>
      </c>
      <c r="O304" t="s">
        <v>74</v>
      </c>
      <c r="P304" t="s">
        <v>74</v>
      </c>
      <c r="Q304" t="s">
        <v>74</v>
      </c>
      <c r="R304" t="s">
        <v>74</v>
      </c>
      <c r="S304" t="s">
        <v>74</v>
      </c>
      <c r="T304" t="s">
        <v>5087</v>
      </c>
      <c r="U304" t="s">
        <v>5088</v>
      </c>
      <c r="V304" t="s">
        <v>5089</v>
      </c>
      <c r="W304" t="s">
        <v>5090</v>
      </c>
      <c r="X304" t="s">
        <v>5091</v>
      </c>
      <c r="Y304" t="s">
        <v>5092</v>
      </c>
      <c r="Z304" t="s">
        <v>5093</v>
      </c>
      <c r="AA304" t="s">
        <v>5094</v>
      </c>
      <c r="AB304" t="s">
        <v>5095</v>
      </c>
      <c r="AC304" t="s">
        <v>74</v>
      </c>
      <c r="AD304" t="s">
        <v>74</v>
      </c>
      <c r="AE304" t="s">
        <v>74</v>
      </c>
      <c r="AF304" t="s">
        <v>74</v>
      </c>
      <c r="AG304">
        <v>37</v>
      </c>
      <c r="AH304">
        <v>172</v>
      </c>
      <c r="AI304">
        <v>183</v>
      </c>
      <c r="AJ304">
        <v>3</v>
      </c>
      <c r="AK304">
        <v>58</v>
      </c>
      <c r="AL304" t="s">
        <v>1459</v>
      </c>
      <c r="AM304" t="s">
        <v>1460</v>
      </c>
      <c r="AN304" t="s">
        <v>1461</v>
      </c>
      <c r="AO304" t="s">
        <v>1462</v>
      </c>
      <c r="AP304" t="s">
        <v>1463</v>
      </c>
      <c r="AQ304" t="s">
        <v>74</v>
      </c>
      <c r="AR304" t="s">
        <v>1450</v>
      </c>
      <c r="AS304" t="s">
        <v>1464</v>
      </c>
      <c r="AT304" t="s">
        <v>4839</v>
      </c>
      <c r="AU304">
        <v>2007</v>
      </c>
      <c r="AV304">
        <v>7</v>
      </c>
      <c r="AW304">
        <v>3</v>
      </c>
      <c r="AX304" t="s">
        <v>74</v>
      </c>
      <c r="AY304" t="s">
        <v>74</v>
      </c>
      <c r="AZ304" t="s">
        <v>74</v>
      </c>
      <c r="BA304" t="s">
        <v>74</v>
      </c>
      <c r="BB304">
        <v>443</v>
      </c>
      <c r="BC304">
        <v>454</v>
      </c>
      <c r="BD304" t="s">
        <v>74</v>
      </c>
      <c r="BE304" t="s">
        <v>5096</v>
      </c>
      <c r="BF304" t="str">
        <f>HYPERLINK("http://dx.doi.org/10.1089/ast.2006.0046","http://dx.doi.org/10.1089/ast.2006.0046")</f>
        <v>http://dx.doi.org/10.1089/ast.2006.0046</v>
      </c>
      <c r="BG304" t="s">
        <v>74</v>
      </c>
      <c r="BH304" t="s">
        <v>74</v>
      </c>
      <c r="BI304">
        <v>12</v>
      </c>
      <c r="BJ304" t="s">
        <v>1466</v>
      </c>
      <c r="BK304" t="s">
        <v>98</v>
      </c>
      <c r="BL304" t="s">
        <v>1467</v>
      </c>
      <c r="BM304" t="s">
        <v>5097</v>
      </c>
      <c r="BN304">
        <v>17630840</v>
      </c>
      <c r="BO304" t="s">
        <v>74</v>
      </c>
      <c r="BP304" t="s">
        <v>74</v>
      </c>
      <c r="BQ304" t="s">
        <v>74</v>
      </c>
      <c r="BR304" t="s">
        <v>101</v>
      </c>
      <c r="BS304" t="s">
        <v>5098</v>
      </c>
      <c r="BT304" t="str">
        <f>HYPERLINK("https%3A%2F%2Fwww.webofscience.com%2Fwos%2Fwoscc%2Ffull-record%2FWOS:000248166900002","View Full Record in Web of Science")</f>
        <v>View Full Record in Web of Science</v>
      </c>
    </row>
    <row r="305" spans="1:72" x14ac:dyDescent="0.15">
      <c r="A305" t="s">
        <v>72</v>
      </c>
      <c r="B305" t="s">
        <v>5099</v>
      </c>
      <c r="C305" t="s">
        <v>74</v>
      </c>
      <c r="D305" t="s">
        <v>74</v>
      </c>
      <c r="E305" t="s">
        <v>74</v>
      </c>
      <c r="F305" t="s">
        <v>5100</v>
      </c>
      <c r="G305" t="s">
        <v>74</v>
      </c>
      <c r="H305" t="s">
        <v>74</v>
      </c>
      <c r="I305" t="s">
        <v>5101</v>
      </c>
      <c r="J305" t="s">
        <v>5102</v>
      </c>
      <c r="K305" t="s">
        <v>74</v>
      </c>
      <c r="L305" t="s">
        <v>74</v>
      </c>
      <c r="M305" t="s">
        <v>78</v>
      </c>
      <c r="N305" t="s">
        <v>79</v>
      </c>
      <c r="O305" t="s">
        <v>74</v>
      </c>
      <c r="P305" t="s">
        <v>74</v>
      </c>
      <c r="Q305" t="s">
        <v>74</v>
      </c>
      <c r="R305" t="s">
        <v>74</v>
      </c>
      <c r="S305" t="s">
        <v>74</v>
      </c>
      <c r="T305" t="s">
        <v>5103</v>
      </c>
      <c r="U305" t="s">
        <v>5104</v>
      </c>
      <c r="V305" t="s">
        <v>5105</v>
      </c>
      <c r="W305" t="s">
        <v>5106</v>
      </c>
      <c r="X305" t="s">
        <v>5107</v>
      </c>
      <c r="Y305" t="s">
        <v>5108</v>
      </c>
      <c r="Z305" t="s">
        <v>5109</v>
      </c>
      <c r="AA305" t="s">
        <v>5110</v>
      </c>
      <c r="AB305" t="s">
        <v>5111</v>
      </c>
      <c r="AC305" t="s">
        <v>74</v>
      </c>
      <c r="AD305" t="s">
        <v>74</v>
      </c>
      <c r="AE305" t="s">
        <v>74</v>
      </c>
      <c r="AF305" t="s">
        <v>74</v>
      </c>
      <c r="AG305">
        <v>65</v>
      </c>
      <c r="AH305">
        <v>26</v>
      </c>
      <c r="AI305">
        <v>26</v>
      </c>
      <c r="AJ305">
        <v>0</v>
      </c>
      <c r="AK305">
        <v>7</v>
      </c>
      <c r="AL305" t="s">
        <v>5112</v>
      </c>
      <c r="AM305" t="s">
        <v>5113</v>
      </c>
      <c r="AN305" t="s">
        <v>5114</v>
      </c>
      <c r="AO305" t="s">
        <v>5115</v>
      </c>
      <c r="AP305" t="s">
        <v>5116</v>
      </c>
      <c r="AQ305" t="s">
        <v>74</v>
      </c>
      <c r="AR305" t="s">
        <v>5117</v>
      </c>
      <c r="AS305" t="s">
        <v>5118</v>
      </c>
      <c r="AT305" t="s">
        <v>4839</v>
      </c>
      <c r="AU305">
        <v>2007</v>
      </c>
      <c r="AV305">
        <v>328</v>
      </c>
      <c r="AW305">
        <v>6</v>
      </c>
      <c r="AX305" t="s">
        <v>74</v>
      </c>
      <c r="AY305" t="s">
        <v>74</v>
      </c>
      <c r="AZ305" t="s">
        <v>74</v>
      </c>
      <c r="BA305" t="s">
        <v>74</v>
      </c>
      <c r="BB305">
        <v>451</v>
      </c>
      <c r="BC305">
        <v>474</v>
      </c>
      <c r="BD305" t="s">
        <v>74</v>
      </c>
      <c r="BE305" t="s">
        <v>5119</v>
      </c>
      <c r="BF305" t="str">
        <f>HYPERLINK("http://dx.doi.org/10.1002/asna.200710780","http://dx.doi.org/10.1002/asna.200710780")</f>
        <v>http://dx.doi.org/10.1002/asna.200710780</v>
      </c>
      <c r="BG305" t="s">
        <v>74</v>
      </c>
      <c r="BH305" t="s">
        <v>74</v>
      </c>
      <c r="BI305">
        <v>24</v>
      </c>
      <c r="BJ305" t="s">
        <v>175</v>
      </c>
      <c r="BK305" t="s">
        <v>98</v>
      </c>
      <c r="BL305" t="s">
        <v>175</v>
      </c>
      <c r="BM305" t="s">
        <v>5120</v>
      </c>
      <c r="BN305" t="s">
        <v>74</v>
      </c>
      <c r="BO305" t="s">
        <v>1289</v>
      </c>
      <c r="BP305" t="s">
        <v>74</v>
      </c>
      <c r="BQ305" t="s">
        <v>74</v>
      </c>
      <c r="BR305" t="s">
        <v>101</v>
      </c>
      <c r="BS305" t="s">
        <v>5121</v>
      </c>
      <c r="BT305" t="str">
        <f>HYPERLINK("https%3A%2F%2Fwww.webofscience.com%2Fwos%2Fwoscc%2Ffull-record%2FWOS:000248364300001","View Full Record in Web of Science")</f>
        <v>View Full Record in Web of Science</v>
      </c>
    </row>
    <row r="306" spans="1:72" x14ac:dyDescent="0.15">
      <c r="A306" t="s">
        <v>72</v>
      </c>
      <c r="B306" t="s">
        <v>5122</v>
      </c>
      <c r="C306" t="s">
        <v>74</v>
      </c>
      <c r="D306" t="s">
        <v>74</v>
      </c>
      <c r="E306" t="s">
        <v>74</v>
      </c>
      <c r="F306" t="s">
        <v>5123</v>
      </c>
      <c r="G306" t="s">
        <v>74</v>
      </c>
      <c r="H306" t="s">
        <v>74</v>
      </c>
      <c r="I306" t="s">
        <v>5124</v>
      </c>
      <c r="J306" t="s">
        <v>1496</v>
      </c>
      <c r="K306" t="s">
        <v>74</v>
      </c>
      <c r="L306" t="s">
        <v>74</v>
      </c>
      <c r="M306" t="s">
        <v>78</v>
      </c>
      <c r="N306" t="s">
        <v>79</v>
      </c>
      <c r="O306" t="s">
        <v>74</v>
      </c>
      <c r="P306" t="s">
        <v>74</v>
      </c>
      <c r="Q306" t="s">
        <v>74</v>
      </c>
      <c r="R306" t="s">
        <v>74</v>
      </c>
      <c r="S306" t="s">
        <v>74</v>
      </c>
      <c r="T306" t="s">
        <v>5125</v>
      </c>
      <c r="U306" t="s">
        <v>5126</v>
      </c>
      <c r="V306" t="s">
        <v>5127</v>
      </c>
      <c r="W306" t="s">
        <v>5128</v>
      </c>
      <c r="X306" t="s">
        <v>5129</v>
      </c>
      <c r="Y306" t="s">
        <v>5130</v>
      </c>
      <c r="Z306" t="s">
        <v>5131</v>
      </c>
      <c r="AA306" t="s">
        <v>5132</v>
      </c>
      <c r="AB306" t="s">
        <v>5133</v>
      </c>
      <c r="AC306" t="s">
        <v>74</v>
      </c>
      <c r="AD306" t="s">
        <v>74</v>
      </c>
      <c r="AE306" t="s">
        <v>74</v>
      </c>
      <c r="AF306" t="s">
        <v>74</v>
      </c>
      <c r="AG306">
        <v>36</v>
      </c>
      <c r="AH306">
        <v>45</v>
      </c>
      <c r="AI306">
        <v>51</v>
      </c>
      <c r="AJ306">
        <v>1</v>
      </c>
      <c r="AK306">
        <v>13</v>
      </c>
      <c r="AL306" t="s">
        <v>1503</v>
      </c>
      <c r="AM306" t="s">
        <v>1504</v>
      </c>
      <c r="AN306" t="s">
        <v>1505</v>
      </c>
      <c r="AO306" t="s">
        <v>1506</v>
      </c>
      <c r="AP306" t="s">
        <v>74</v>
      </c>
      <c r="AQ306" t="s">
        <v>74</v>
      </c>
      <c r="AR306" t="s">
        <v>1508</v>
      </c>
      <c r="AS306" t="s">
        <v>1509</v>
      </c>
      <c r="AT306" t="s">
        <v>4839</v>
      </c>
      <c r="AU306">
        <v>2007</v>
      </c>
      <c r="AV306">
        <v>41</v>
      </c>
      <c r="AW306">
        <v>19</v>
      </c>
      <c r="AX306" t="s">
        <v>74</v>
      </c>
      <c r="AY306" t="s">
        <v>74</v>
      </c>
      <c r="AZ306" t="s">
        <v>74</v>
      </c>
      <c r="BA306" t="s">
        <v>74</v>
      </c>
      <c r="BB306">
        <v>3944</v>
      </c>
      <c r="BC306">
        <v>3958</v>
      </c>
      <c r="BD306" t="s">
        <v>74</v>
      </c>
      <c r="BE306" t="s">
        <v>5134</v>
      </c>
      <c r="BF306" t="str">
        <f>HYPERLINK("http://dx.doi.org/10.1016/j.atmosenv.2007.01.056","http://dx.doi.org/10.1016/j.atmosenv.2007.01.056")</f>
        <v>http://dx.doi.org/10.1016/j.atmosenv.2007.01.056</v>
      </c>
      <c r="BG306" t="s">
        <v>74</v>
      </c>
      <c r="BH306" t="s">
        <v>74</v>
      </c>
      <c r="BI306">
        <v>15</v>
      </c>
      <c r="BJ306" t="s">
        <v>1511</v>
      </c>
      <c r="BK306" t="s">
        <v>98</v>
      </c>
      <c r="BL306" t="s">
        <v>1512</v>
      </c>
      <c r="BM306" t="s">
        <v>5135</v>
      </c>
      <c r="BN306" t="s">
        <v>74</v>
      </c>
      <c r="BO306" t="s">
        <v>74</v>
      </c>
      <c r="BP306" t="s">
        <v>74</v>
      </c>
      <c r="BQ306" t="s">
        <v>74</v>
      </c>
      <c r="BR306" t="s">
        <v>101</v>
      </c>
      <c r="BS306" t="s">
        <v>5136</v>
      </c>
      <c r="BT306" t="str">
        <f>HYPERLINK("https%3A%2F%2Fwww.webofscience.com%2Fwos%2Fwoscc%2Ffull-record%2FWOS:000247165000001","View Full Record in Web of Science")</f>
        <v>View Full Record in Web of Science</v>
      </c>
    </row>
    <row r="307" spans="1:72" x14ac:dyDescent="0.15">
      <c r="A307" t="s">
        <v>72</v>
      </c>
      <c r="B307" t="s">
        <v>5137</v>
      </c>
      <c r="C307" t="s">
        <v>74</v>
      </c>
      <c r="D307" t="s">
        <v>74</v>
      </c>
      <c r="E307" t="s">
        <v>74</v>
      </c>
      <c r="F307" t="s">
        <v>5138</v>
      </c>
      <c r="G307" t="s">
        <v>74</v>
      </c>
      <c r="H307" t="s">
        <v>74</v>
      </c>
      <c r="I307" t="s">
        <v>5139</v>
      </c>
      <c r="J307" t="s">
        <v>5140</v>
      </c>
      <c r="K307" t="s">
        <v>74</v>
      </c>
      <c r="L307" t="s">
        <v>74</v>
      </c>
      <c r="M307" t="s">
        <v>78</v>
      </c>
      <c r="N307" t="s">
        <v>514</v>
      </c>
      <c r="O307" t="s">
        <v>5141</v>
      </c>
      <c r="P307" t="s">
        <v>5142</v>
      </c>
      <c r="Q307" t="s">
        <v>5143</v>
      </c>
      <c r="R307" t="s">
        <v>74</v>
      </c>
      <c r="S307" t="s">
        <v>74</v>
      </c>
      <c r="T307" t="s">
        <v>5144</v>
      </c>
      <c r="U307" t="s">
        <v>5145</v>
      </c>
      <c r="V307" t="s">
        <v>5146</v>
      </c>
      <c r="W307" t="s">
        <v>5147</v>
      </c>
      <c r="X307" t="s">
        <v>5148</v>
      </c>
      <c r="Y307" t="s">
        <v>5149</v>
      </c>
      <c r="Z307" t="s">
        <v>5150</v>
      </c>
      <c r="AA307" t="s">
        <v>74</v>
      </c>
      <c r="AB307" t="s">
        <v>5151</v>
      </c>
      <c r="AC307" t="s">
        <v>74</v>
      </c>
      <c r="AD307" t="s">
        <v>74</v>
      </c>
      <c r="AE307" t="s">
        <v>74</v>
      </c>
      <c r="AF307" t="s">
        <v>74</v>
      </c>
      <c r="AG307">
        <v>48</v>
      </c>
      <c r="AH307">
        <v>37</v>
      </c>
      <c r="AI307">
        <v>42</v>
      </c>
      <c r="AJ307">
        <v>0</v>
      </c>
      <c r="AK307">
        <v>15</v>
      </c>
      <c r="AL307" t="s">
        <v>272</v>
      </c>
      <c r="AM307" t="s">
        <v>273</v>
      </c>
      <c r="AN307" t="s">
        <v>274</v>
      </c>
      <c r="AO307" t="s">
        <v>5152</v>
      </c>
      <c r="AP307" t="s">
        <v>5153</v>
      </c>
      <c r="AQ307" t="s">
        <v>74</v>
      </c>
      <c r="AR307" t="s">
        <v>5154</v>
      </c>
      <c r="AS307" t="s">
        <v>5155</v>
      </c>
      <c r="AT307" t="s">
        <v>4839</v>
      </c>
      <c r="AU307">
        <v>2007</v>
      </c>
      <c r="AV307">
        <v>1767</v>
      </c>
      <c r="AW307">
        <v>6</v>
      </c>
      <c r="AX307" t="s">
        <v>74</v>
      </c>
      <c r="AY307" t="s">
        <v>74</v>
      </c>
      <c r="AZ307" t="s">
        <v>74</v>
      </c>
      <c r="BA307" t="s">
        <v>74</v>
      </c>
      <c r="BB307">
        <v>789</v>
      </c>
      <c r="BC307">
        <v>800</v>
      </c>
      <c r="BD307" t="s">
        <v>74</v>
      </c>
      <c r="BE307" t="s">
        <v>5156</v>
      </c>
      <c r="BF307" t="str">
        <f>HYPERLINK("http://dx.doi.org/10.1016/j.bbabio.2006.12.001","http://dx.doi.org/10.1016/j.bbabio.2006.12.001")</f>
        <v>http://dx.doi.org/10.1016/j.bbabio.2006.12.001</v>
      </c>
      <c r="BG307" t="s">
        <v>74</v>
      </c>
      <c r="BH307" t="s">
        <v>74</v>
      </c>
      <c r="BI307">
        <v>12</v>
      </c>
      <c r="BJ307" t="s">
        <v>4106</v>
      </c>
      <c r="BK307" t="s">
        <v>535</v>
      </c>
      <c r="BL307" t="s">
        <v>4106</v>
      </c>
      <c r="BM307" t="s">
        <v>5157</v>
      </c>
      <c r="BN307">
        <v>17234152</v>
      </c>
      <c r="BO307" t="s">
        <v>74</v>
      </c>
      <c r="BP307" t="s">
        <v>74</v>
      </c>
      <c r="BQ307" t="s">
        <v>74</v>
      </c>
      <c r="BR307" t="s">
        <v>101</v>
      </c>
      <c r="BS307" t="s">
        <v>5158</v>
      </c>
      <c r="BT307" t="str">
        <f>HYPERLINK("https%3A%2F%2Fwww.webofscience.com%2Fwos%2Fwoscc%2Ffull-record%2FWOS:000247650500049","View Full Record in Web of Science")</f>
        <v>View Full Record in Web of Science</v>
      </c>
    </row>
    <row r="308" spans="1:72" x14ac:dyDescent="0.15">
      <c r="A308" t="s">
        <v>72</v>
      </c>
      <c r="B308" t="s">
        <v>5159</v>
      </c>
      <c r="C308" t="s">
        <v>74</v>
      </c>
      <c r="D308" t="s">
        <v>74</v>
      </c>
      <c r="E308" t="s">
        <v>74</v>
      </c>
      <c r="F308" t="s">
        <v>5160</v>
      </c>
      <c r="G308" t="s">
        <v>74</v>
      </c>
      <c r="H308" t="s">
        <v>74</v>
      </c>
      <c r="I308" t="s">
        <v>5161</v>
      </c>
      <c r="J308" t="s">
        <v>5162</v>
      </c>
      <c r="K308" t="s">
        <v>74</v>
      </c>
      <c r="L308" t="s">
        <v>74</v>
      </c>
      <c r="M308" t="s">
        <v>78</v>
      </c>
      <c r="N308" t="s">
        <v>248</v>
      </c>
      <c r="O308" t="s">
        <v>74</v>
      </c>
      <c r="P308" t="s">
        <v>74</v>
      </c>
      <c r="Q308" t="s">
        <v>74</v>
      </c>
      <c r="R308" t="s">
        <v>74</v>
      </c>
      <c r="S308" t="s">
        <v>74</v>
      </c>
      <c r="T308" t="s">
        <v>74</v>
      </c>
      <c r="U308" t="s">
        <v>5163</v>
      </c>
      <c r="V308" t="s">
        <v>5164</v>
      </c>
      <c r="W308" t="s">
        <v>74</v>
      </c>
      <c r="X308" t="s">
        <v>74</v>
      </c>
      <c r="Y308" t="s">
        <v>74</v>
      </c>
      <c r="Z308" t="s">
        <v>74</v>
      </c>
      <c r="AA308" t="s">
        <v>5165</v>
      </c>
      <c r="AB308" t="s">
        <v>5166</v>
      </c>
      <c r="AC308" t="s">
        <v>74</v>
      </c>
      <c r="AD308" t="s">
        <v>74</v>
      </c>
      <c r="AE308" t="s">
        <v>74</v>
      </c>
      <c r="AF308" t="s">
        <v>74</v>
      </c>
      <c r="AG308">
        <v>283</v>
      </c>
      <c r="AH308">
        <v>21</v>
      </c>
      <c r="AI308">
        <v>24</v>
      </c>
      <c r="AJ308">
        <v>0</v>
      </c>
      <c r="AK308">
        <v>17</v>
      </c>
      <c r="AL308" t="s">
        <v>567</v>
      </c>
      <c r="AM308" t="s">
        <v>568</v>
      </c>
      <c r="AN308" t="s">
        <v>569</v>
      </c>
      <c r="AO308" t="s">
        <v>5167</v>
      </c>
      <c r="AP308" t="s">
        <v>5168</v>
      </c>
      <c r="AQ308" t="s">
        <v>74</v>
      </c>
      <c r="AR308" t="s">
        <v>5169</v>
      </c>
      <c r="AS308" t="s">
        <v>5170</v>
      </c>
      <c r="AT308" t="s">
        <v>4839</v>
      </c>
      <c r="AU308">
        <v>2007</v>
      </c>
      <c r="AV308">
        <v>88</v>
      </c>
      <c r="AW308">
        <v>6</v>
      </c>
      <c r="AX308" t="s">
        <v>74</v>
      </c>
      <c r="AY308" t="s">
        <v>1778</v>
      </c>
      <c r="AZ308" t="s">
        <v>74</v>
      </c>
      <c r="BA308" t="s">
        <v>74</v>
      </c>
      <c r="BB308" t="s">
        <v>5171</v>
      </c>
      <c r="BC308" t="s">
        <v>5172</v>
      </c>
      <c r="BD308" t="s">
        <v>74</v>
      </c>
      <c r="BE308" t="s">
        <v>74</v>
      </c>
      <c r="BF308" t="s">
        <v>74</v>
      </c>
      <c r="BG308" t="s">
        <v>74</v>
      </c>
      <c r="BH308" t="s">
        <v>74</v>
      </c>
      <c r="BI308">
        <v>128</v>
      </c>
      <c r="BJ308" t="s">
        <v>435</v>
      </c>
      <c r="BK308" t="s">
        <v>98</v>
      </c>
      <c r="BL308" t="s">
        <v>435</v>
      </c>
      <c r="BM308" t="s">
        <v>5173</v>
      </c>
      <c r="BN308" t="s">
        <v>74</v>
      </c>
      <c r="BO308" t="s">
        <v>74</v>
      </c>
      <c r="BP308" t="s">
        <v>74</v>
      </c>
      <c r="BQ308" t="s">
        <v>74</v>
      </c>
      <c r="BR308" t="s">
        <v>101</v>
      </c>
      <c r="BS308" t="s">
        <v>5174</v>
      </c>
      <c r="BT308" t="str">
        <f>HYPERLINK("https%3A%2F%2Fwww.webofscience.com%2Fwos%2Fwoscc%2Ffull-record%2FWOS:000248055900001","View Full Record in Web of Science")</f>
        <v>View Full Record in Web of Science</v>
      </c>
    </row>
    <row r="309" spans="1:72" x14ac:dyDescent="0.15">
      <c r="A309" t="s">
        <v>72</v>
      </c>
      <c r="B309" t="s">
        <v>5175</v>
      </c>
      <c r="C309" t="s">
        <v>74</v>
      </c>
      <c r="D309" t="s">
        <v>74</v>
      </c>
      <c r="E309" t="s">
        <v>74</v>
      </c>
      <c r="F309" t="s">
        <v>5176</v>
      </c>
      <c r="G309" t="s">
        <v>74</v>
      </c>
      <c r="H309" t="s">
        <v>74</v>
      </c>
      <c r="I309" t="s">
        <v>5177</v>
      </c>
      <c r="J309" t="s">
        <v>5178</v>
      </c>
      <c r="K309" t="s">
        <v>74</v>
      </c>
      <c r="L309" t="s">
        <v>74</v>
      </c>
      <c r="M309" t="s">
        <v>78</v>
      </c>
      <c r="N309" t="s">
        <v>79</v>
      </c>
      <c r="O309" t="s">
        <v>74</v>
      </c>
      <c r="P309" t="s">
        <v>74</v>
      </c>
      <c r="Q309" t="s">
        <v>74</v>
      </c>
      <c r="R309" t="s">
        <v>74</v>
      </c>
      <c r="S309" t="s">
        <v>74</v>
      </c>
      <c r="T309" t="s">
        <v>5179</v>
      </c>
      <c r="U309" t="s">
        <v>5180</v>
      </c>
      <c r="V309" t="s">
        <v>5181</v>
      </c>
      <c r="W309" t="s">
        <v>5182</v>
      </c>
      <c r="X309" t="s">
        <v>5183</v>
      </c>
      <c r="Y309" t="s">
        <v>5184</v>
      </c>
      <c r="Z309" t="s">
        <v>5185</v>
      </c>
      <c r="AA309" t="s">
        <v>5186</v>
      </c>
      <c r="AB309" t="s">
        <v>74</v>
      </c>
      <c r="AC309" t="s">
        <v>74</v>
      </c>
      <c r="AD309" t="s">
        <v>74</v>
      </c>
      <c r="AE309" t="s">
        <v>74</v>
      </c>
      <c r="AF309" t="s">
        <v>74</v>
      </c>
      <c r="AG309">
        <v>20</v>
      </c>
      <c r="AH309">
        <v>2</v>
      </c>
      <c r="AI309">
        <v>3</v>
      </c>
      <c r="AJ309">
        <v>1</v>
      </c>
      <c r="AK309">
        <v>6</v>
      </c>
      <c r="AL309" t="s">
        <v>1592</v>
      </c>
      <c r="AM309" t="s">
        <v>1593</v>
      </c>
      <c r="AN309" t="s">
        <v>1594</v>
      </c>
      <c r="AO309" t="s">
        <v>5187</v>
      </c>
      <c r="AP309" t="s">
        <v>5188</v>
      </c>
      <c r="AQ309" t="s">
        <v>74</v>
      </c>
      <c r="AR309" t="s">
        <v>5189</v>
      </c>
      <c r="AS309" t="s">
        <v>5190</v>
      </c>
      <c r="AT309" t="s">
        <v>4839</v>
      </c>
      <c r="AU309">
        <v>2007</v>
      </c>
      <c r="AV309">
        <v>17</v>
      </c>
      <c r="AW309">
        <v>2</v>
      </c>
      <c r="AX309" t="s">
        <v>74</v>
      </c>
      <c r="AY309" t="s">
        <v>74</v>
      </c>
      <c r="AZ309" t="s">
        <v>74</v>
      </c>
      <c r="BA309" t="s">
        <v>74</v>
      </c>
      <c r="BB309">
        <v>160</v>
      </c>
      <c r="BC309">
        <v>165</v>
      </c>
      <c r="BD309" t="s">
        <v>74</v>
      </c>
      <c r="BE309" t="s">
        <v>5191</v>
      </c>
      <c r="BF309" t="str">
        <f>HYPERLINK("http://dx.doi.org/10.1007/s11769-007-0160-4","http://dx.doi.org/10.1007/s11769-007-0160-4")</f>
        <v>http://dx.doi.org/10.1007/s11769-007-0160-4</v>
      </c>
      <c r="BG309" t="s">
        <v>74</v>
      </c>
      <c r="BH309" t="s">
        <v>74</v>
      </c>
      <c r="BI309">
        <v>6</v>
      </c>
      <c r="BJ309" t="s">
        <v>4372</v>
      </c>
      <c r="BK309" t="s">
        <v>98</v>
      </c>
      <c r="BL309" t="s">
        <v>911</v>
      </c>
      <c r="BM309" t="s">
        <v>5192</v>
      </c>
      <c r="BN309" t="s">
        <v>74</v>
      </c>
      <c r="BO309" t="s">
        <v>577</v>
      </c>
      <c r="BP309" t="s">
        <v>74</v>
      </c>
      <c r="BQ309" t="s">
        <v>74</v>
      </c>
      <c r="BR309" t="s">
        <v>101</v>
      </c>
      <c r="BS309" t="s">
        <v>5193</v>
      </c>
      <c r="BT309" t="str">
        <f>HYPERLINK("https%3A%2F%2Fwww.webofscience.com%2Fwos%2Fwoscc%2Ffull-record%2FWOS:000254707700008","View Full Record in Web of Science")</f>
        <v>View Full Record in Web of Science</v>
      </c>
    </row>
    <row r="310" spans="1:72" x14ac:dyDescent="0.15">
      <c r="A310" t="s">
        <v>72</v>
      </c>
      <c r="B310" t="s">
        <v>5194</v>
      </c>
      <c r="C310" t="s">
        <v>74</v>
      </c>
      <c r="D310" t="s">
        <v>74</v>
      </c>
      <c r="E310" t="s">
        <v>74</v>
      </c>
      <c r="F310" t="s">
        <v>5195</v>
      </c>
      <c r="G310" t="s">
        <v>74</v>
      </c>
      <c r="H310" t="s">
        <v>74</v>
      </c>
      <c r="I310" t="s">
        <v>5196</v>
      </c>
      <c r="J310" t="s">
        <v>5197</v>
      </c>
      <c r="K310" t="s">
        <v>74</v>
      </c>
      <c r="L310" t="s">
        <v>74</v>
      </c>
      <c r="M310" t="s">
        <v>78</v>
      </c>
      <c r="N310" t="s">
        <v>79</v>
      </c>
      <c r="O310" t="s">
        <v>74</v>
      </c>
      <c r="P310" t="s">
        <v>74</v>
      </c>
      <c r="Q310" t="s">
        <v>74</v>
      </c>
      <c r="R310" t="s">
        <v>74</v>
      </c>
      <c r="S310" t="s">
        <v>74</v>
      </c>
      <c r="T310" t="s">
        <v>5198</v>
      </c>
      <c r="U310" t="s">
        <v>5199</v>
      </c>
      <c r="V310" t="s">
        <v>5200</v>
      </c>
      <c r="W310" t="s">
        <v>5201</v>
      </c>
      <c r="X310" t="s">
        <v>5202</v>
      </c>
      <c r="Y310" t="s">
        <v>5203</v>
      </c>
      <c r="Z310" t="s">
        <v>5204</v>
      </c>
      <c r="AA310" t="s">
        <v>5205</v>
      </c>
      <c r="AB310" t="s">
        <v>5206</v>
      </c>
      <c r="AC310" t="s">
        <v>139</v>
      </c>
      <c r="AD310" t="s">
        <v>140</v>
      </c>
      <c r="AE310" t="s">
        <v>74</v>
      </c>
      <c r="AF310" t="s">
        <v>74</v>
      </c>
      <c r="AG310">
        <v>59</v>
      </c>
      <c r="AH310">
        <v>7</v>
      </c>
      <c r="AI310">
        <v>8</v>
      </c>
      <c r="AJ310">
        <v>0</v>
      </c>
      <c r="AK310">
        <v>7</v>
      </c>
      <c r="AL310" t="s">
        <v>2709</v>
      </c>
      <c r="AM310" t="s">
        <v>2710</v>
      </c>
      <c r="AN310" t="s">
        <v>2711</v>
      </c>
      <c r="AO310" t="s">
        <v>5207</v>
      </c>
      <c r="AP310" t="s">
        <v>5208</v>
      </c>
      <c r="AQ310" t="s">
        <v>74</v>
      </c>
      <c r="AR310" t="s">
        <v>5209</v>
      </c>
      <c r="AS310" t="s">
        <v>5210</v>
      </c>
      <c r="AT310" t="s">
        <v>4839</v>
      </c>
      <c r="AU310">
        <v>2007</v>
      </c>
      <c r="AV310">
        <v>52</v>
      </c>
      <c r="AW310">
        <v>11</v>
      </c>
      <c r="AX310" t="s">
        <v>74</v>
      </c>
      <c r="AY310" t="s">
        <v>74</v>
      </c>
      <c r="AZ310" t="s">
        <v>74</v>
      </c>
      <c r="BA310" t="s">
        <v>74</v>
      </c>
      <c r="BB310">
        <v>1545</v>
      </c>
      <c r="BC310">
        <v>1558</v>
      </c>
      <c r="BD310" t="s">
        <v>74</v>
      </c>
      <c r="BE310" t="s">
        <v>5211</v>
      </c>
      <c r="BF310" t="str">
        <f>HYPERLINK("http://dx.doi.org/10.1007/s11434-007-0207-z","http://dx.doi.org/10.1007/s11434-007-0207-z")</f>
        <v>http://dx.doi.org/10.1007/s11434-007-0207-z</v>
      </c>
      <c r="BG310" t="s">
        <v>74</v>
      </c>
      <c r="BH310" t="s">
        <v>74</v>
      </c>
      <c r="BI310">
        <v>14</v>
      </c>
      <c r="BJ310" t="s">
        <v>241</v>
      </c>
      <c r="BK310" t="s">
        <v>98</v>
      </c>
      <c r="BL310" t="s">
        <v>242</v>
      </c>
      <c r="BM310" t="s">
        <v>5212</v>
      </c>
      <c r="BN310" t="s">
        <v>74</v>
      </c>
      <c r="BO310" t="s">
        <v>74</v>
      </c>
      <c r="BP310" t="s">
        <v>74</v>
      </c>
      <c r="BQ310" t="s">
        <v>74</v>
      </c>
      <c r="BR310" t="s">
        <v>101</v>
      </c>
      <c r="BS310" t="s">
        <v>5213</v>
      </c>
      <c r="BT310" t="str">
        <f>HYPERLINK("https%3A%2F%2Fwww.webofscience.com%2Fwos%2Fwoscc%2Ffull-record%2FWOS:000247578100016","View Full Record in Web of Science")</f>
        <v>View Full Record in Web of Science</v>
      </c>
    </row>
    <row r="311" spans="1:72" x14ac:dyDescent="0.15">
      <c r="A311" t="s">
        <v>72</v>
      </c>
      <c r="B311" t="s">
        <v>5214</v>
      </c>
      <c r="C311" t="s">
        <v>74</v>
      </c>
      <c r="D311" t="s">
        <v>74</v>
      </c>
      <c r="E311" t="s">
        <v>74</v>
      </c>
      <c r="F311" t="s">
        <v>5215</v>
      </c>
      <c r="G311" t="s">
        <v>74</v>
      </c>
      <c r="H311" t="s">
        <v>74</v>
      </c>
      <c r="I311" t="s">
        <v>5216</v>
      </c>
      <c r="J311" t="s">
        <v>5217</v>
      </c>
      <c r="K311" t="s">
        <v>74</v>
      </c>
      <c r="L311" t="s">
        <v>74</v>
      </c>
      <c r="M311" t="s">
        <v>78</v>
      </c>
      <c r="N311" t="s">
        <v>79</v>
      </c>
      <c r="O311" t="s">
        <v>74</v>
      </c>
      <c r="P311" t="s">
        <v>74</v>
      </c>
      <c r="Q311" t="s">
        <v>74</v>
      </c>
      <c r="R311" t="s">
        <v>74</v>
      </c>
      <c r="S311" t="s">
        <v>74</v>
      </c>
      <c r="T311" t="s">
        <v>5218</v>
      </c>
      <c r="U311" t="s">
        <v>5219</v>
      </c>
      <c r="V311" t="s">
        <v>5220</v>
      </c>
      <c r="W311" t="s">
        <v>5221</v>
      </c>
      <c r="X311" t="s">
        <v>5222</v>
      </c>
      <c r="Y311" t="s">
        <v>5223</v>
      </c>
      <c r="Z311" t="s">
        <v>5224</v>
      </c>
      <c r="AA311" t="s">
        <v>5225</v>
      </c>
      <c r="AB311" t="s">
        <v>5226</v>
      </c>
      <c r="AC311" t="s">
        <v>74</v>
      </c>
      <c r="AD311" t="s">
        <v>74</v>
      </c>
      <c r="AE311" t="s">
        <v>74</v>
      </c>
      <c r="AF311" t="s">
        <v>74</v>
      </c>
      <c r="AG311">
        <v>14</v>
      </c>
      <c r="AH311">
        <v>111</v>
      </c>
      <c r="AI311">
        <v>126</v>
      </c>
      <c r="AJ311">
        <v>2</v>
      </c>
      <c r="AK311">
        <v>56</v>
      </c>
      <c r="AL311" t="s">
        <v>1592</v>
      </c>
      <c r="AM311" t="s">
        <v>2052</v>
      </c>
      <c r="AN311" t="s">
        <v>2053</v>
      </c>
      <c r="AO311" t="s">
        <v>5227</v>
      </c>
      <c r="AP311" t="s">
        <v>74</v>
      </c>
      <c r="AQ311" t="s">
        <v>74</v>
      </c>
      <c r="AR311" t="s">
        <v>5228</v>
      </c>
      <c r="AS311" t="s">
        <v>5229</v>
      </c>
      <c r="AT311" t="s">
        <v>4839</v>
      </c>
      <c r="AU311">
        <v>2007</v>
      </c>
      <c r="AV311">
        <v>8</v>
      </c>
      <c r="AW311">
        <v>3</v>
      </c>
      <c r="AX311" t="s">
        <v>74</v>
      </c>
      <c r="AY311" t="s">
        <v>74</v>
      </c>
      <c r="AZ311" t="s">
        <v>74</v>
      </c>
      <c r="BA311" t="s">
        <v>74</v>
      </c>
      <c r="BB311">
        <v>743</v>
      </c>
      <c r="BC311">
        <v>747</v>
      </c>
      <c r="BD311" t="s">
        <v>74</v>
      </c>
      <c r="BE311" t="s">
        <v>5230</v>
      </c>
      <c r="BF311" t="str">
        <f>HYPERLINK("http://dx.doi.org/10.1007/s10592-006-9197-7","http://dx.doi.org/10.1007/s10592-006-9197-7")</f>
        <v>http://dx.doi.org/10.1007/s10592-006-9197-7</v>
      </c>
      <c r="BG311" t="s">
        <v>74</v>
      </c>
      <c r="BH311" t="s">
        <v>74</v>
      </c>
      <c r="BI311">
        <v>5</v>
      </c>
      <c r="BJ311" t="s">
        <v>5231</v>
      </c>
      <c r="BK311" t="s">
        <v>98</v>
      </c>
      <c r="BL311" t="s">
        <v>5232</v>
      </c>
      <c r="BM311" t="s">
        <v>5233</v>
      </c>
      <c r="BN311" t="s">
        <v>74</v>
      </c>
      <c r="BO311" t="s">
        <v>74</v>
      </c>
      <c r="BP311" t="s">
        <v>74</v>
      </c>
      <c r="BQ311" t="s">
        <v>74</v>
      </c>
      <c r="BR311" t="s">
        <v>101</v>
      </c>
      <c r="BS311" t="s">
        <v>5234</v>
      </c>
      <c r="BT311" t="str">
        <f>HYPERLINK("https%3A%2F%2Fwww.webofscience.com%2Fwos%2Fwoscc%2Ffull-record%2FWOS:000246103500023","View Full Record in Web of Science")</f>
        <v>View Full Record in Web of Science</v>
      </c>
    </row>
    <row r="312" spans="1:72" x14ac:dyDescent="0.15">
      <c r="A312" t="s">
        <v>72</v>
      </c>
      <c r="B312" t="s">
        <v>5235</v>
      </c>
      <c r="C312" t="s">
        <v>74</v>
      </c>
      <c r="D312" t="s">
        <v>74</v>
      </c>
      <c r="E312" t="s">
        <v>74</v>
      </c>
      <c r="F312" t="s">
        <v>5236</v>
      </c>
      <c r="G312" t="s">
        <v>74</v>
      </c>
      <c r="H312" t="s">
        <v>74</v>
      </c>
      <c r="I312" t="s">
        <v>5237</v>
      </c>
      <c r="J312" t="s">
        <v>5238</v>
      </c>
      <c r="K312" t="s">
        <v>74</v>
      </c>
      <c r="L312" t="s">
        <v>74</v>
      </c>
      <c r="M312" t="s">
        <v>78</v>
      </c>
      <c r="N312" t="s">
        <v>79</v>
      </c>
      <c r="O312" t="s">
        <v>74</v>
      </c>
      <c r="P312" t="s">
        <v>74</v>
      </c>
      <c r="Q312" t="s">
        <v>74</v>
      </c>
      <c r="R312" t="s">
        <v>74</v>
      </c>
      <c r="S312" t="s">
        <v>74</v>
      </c>
      <c r="T312" t="s">
        <v>5239</v>
      </c>
      <c r="U312" t="s">
        <v>5240</v>
      </c>
      <c r="V312" t="s">
        <v>5241</v>
      </c>
      <c r="W312" t="s">
        <v>5242</v>
      </c>
      <c r="X312" t="s">
        <v>5243</v>
      </c>
      <c r="Y312" t="s">
        <v>5244</v>
      </c>
      <c r="Z312" t="s">
        <v>5245</v>
      </c>
      <c r="AA312" t="s">
        <v>5246</v>
      </c>
      <c r="AB312" t="s">
        <v>5247</v>
      </c>
      <c r="AC312" t="s">
        <v>74</v>
      </c>
      <c r="AD312" t="s">
        <v>74</v>
      </c>
      <c r="AE312" t="s">
        <v>74</v>
      </c>
      <c r="AF312" t="s">
        <v>74</v>
      </c>
      <c r="AG312">
        <v>34</v>
      </c>
      <c r="AH312">
        <v>34</v>
      </c>
      <c r="AI312">
        <v>44</v>
      </c>
      <c r="AJ312">
        <v>0</v>
      </c>
      <c r="AK312">
        <v>19</v>
      </c>
      <c r="AL312" t="s">
        <v>1503</v>
      </c>
      <c r="AM312" t="s">
        <v>1504</v>
      </c>
      <c r="AN312" t="s">
        <v>1505</v>
      </c>
      <c r="AO312" t="s">
        <v>5248</v>
      </c>
      <c r="AP312" t="s">
        <v>5249</v>
      </c>
      <c r="AQ312" t="s">
        <v>74</v>
      </c>
      <c r="AR312" t="s">
        <v>5250</v>
      </c>
      <c r="AS312" t="s">
        <v>5251</v>
      </c>
      <c r="AT312" t="s">
        <v>5080</v>
      </c>
      <c r="AU312">
        <v>2007</v>
      </c>
      <c r="AV312">
        <v>27</v>
      </c>
      <c r="AW312" t="s">
        <v>5252</v>
      </c>
      <c r="AX312" t="s">
        <v>74</v>
      </c>
      <c r="AY312" t="s">
        <v>74</v>
      </c>
      <c r="AZ312" t="s">
        <v>74</v>
      </c>
      <c r="BA312" t="s">
        <v>74</v>
      </c>
      <c r="BB312">
        <v>1584</v>
      </c>
      <c r="BC312">
        <v>1599</v>
      </c>
      <c r="BD312" t="s">
        <v>74</v>
      </c>
      <c r="BE312" t="s">
        <v>5253</v>
      </c>
      <c r="BF312" t="str">
        <f>HYPERLINK("http://dx.doi.org/10.1016/j.csr.2007.01.019","http://dx.doi.org/10.1016/j.csr.2007.01.019")</f>
        <v>http://dx.doi.org/10.1016/j.csr.2007.01.019</v>
      </c>
      <c r="BG312" t="s">
        <v>74</v>
      </c>
      <c r="BH312" t="s">
        <v>74</v>
      </c>
      <c r="BI312">
        <v>16</v>
      </c>
      <c r="BJ312" t="s">
        <v>221</v>
      </c>
      <c r="BK312" t="s">
        <v>98</v>
      </c>
      <c r="BL312" t="s">
        <v>221</v>
      </c>
      <c r="BM312" t="s">
        <v>5254</v>
      </c>
      <c r="BN312" t="s">
        <v>74</v>
      </c>
      <c r="BO312" t="s">
        <v>223</v>
      </c>
      <c r="BP312" t="s">
        <v>74</v>
      </c>
      <c r="BQ312" t="s">
        <v>74</v>
      </c>
      <c r="BR312" t="s">
        <v>101</v>
      </c>
      <c r="BS312" t="s">
        <v>5255</v>
      </c>
      <c r="BT312" t="str">
        <f>HYPERLINK("https%3A%2F%2Fwww.webofscience.com%2Fwos%2Fwoscc%2Ffull-record%2FWOS:000247849700013","View Full Record in Web of Science")</f>
        <v>View Full Record in Web of Science</v>
      </c>
    </row>
    <row r="313" spans="1:72" x14ac:dyDescent="0.15">
      <c r="A313" t="s">
        <v>72</v>
      </c>
      <c r="B313" t="s">
        <v>5256</v>
      </c>
      <c r="C313" t="s">
        <v>74</v>
      </c>
      <c r="D313" t="s">
        <v>74</v>
      </c>
      <c r="E313" t="s">
        <v>74</v>
      </c>
      <c r="F313" t="s">
        <v>5257</v>
      </c>
      <c r="G313" t="s">
        <v>74</v>
      </c>
      <c r="H313" t="s">
        <v>74</v>
      </c>
      <c r="I313" t="s">
        <v>5258</v>
      </c>
      <c r="J313" t="s">
        <v>5259</v>
      </c>
      <c r="K313" t="s">
        <v>74</v>
      </c>
      <c r="L313" t="s">
        <v>74</v>
      </c>
      <c r="M313" t="s">
        <v>78</v>
      </c>
      <c r="N313" t="s">
        <v>79</v>
      </c>
      <c r="O313" t="s">
        <v>74</v>
      </c>
      <c r="P313" t="s">
        <v>74</v>
      </c>
      <c r="Q313" t="s">
        <v>74</v>
      </c>
      <c r="R313" t="s">
        <v>74</v>
      </c>
      <c r="S313" t="s">
        <v>74</v>
      </c>
      <c r="T313" t="s">
        <v>5260</v>
      </c>
      <c r="U313" t="s">
        <v>5261</v>
      </c>
      <c r="V313" t="s">
        <v>5262</v>
      </c>
      <c r="W313" t="s">
        <v>5263</v>
      </c>
      <c r="X313" t="s">
        <v>5264</v>
      </c>
      <c r="Y313" t="s">
        <v>5265</v>
      </c>
      <c r="Z313" t="s">
        <v>5266</v>
      </c>
      <c r="AA313" t="s">
        <v>74</v>
      </c>
      <c r="AB313" t="s">
        <v>74</v>
      </c>
      <c r="AC313" t="s">
        <v>74</v>
      </c>
      <c r="AD313" t="s">
        <v>74</v>
      </c>
      <c r="AE313" t="s">
        <v>74</v>
      </c>
      <c r="AF313" t="s">
        <v>74</v>
      </c>
      <c r="AG313">
        <v>92</v>
      </c>
      <c r="AH313">
        <v>15</v>
      </c>
      <c r="AI313">
        <v>16</v>
      </c>
      <c r="AJ313">
        <v>0</v>
      </c>
      <c r="AK313">
        <v>5</v>
      </c>
      <c r="AL313" t="s">
        <v>3568</v>
      </c>
      <c r="AM313" t="s">
        <v>363</v>
      </c>
      <c r="AN313" t="s">
        <v>3569</v>
      </c>
      <c r="AO313" t="s">
        <v>5267</v>
      </c>
      <c r="AP313" t="s">
        <v>5268</v>
      </c>
      <c r="AQ313" t="s">
        <v>74</v>
      </c>
      <c r="AR313" t="s">
        <v>5269</v>
      </c>
      <c r="AS313" t="s">
        <v>5270</v>
      </c>
      <c r="AT313" t="s">
        <v>4839</v>
      </c>
      <c r="AU313">
        <v>2007</v>
      </c>
      <c r="AV313">
        <v>28</v>
      </c>
      <c r="AW313">
        <v>3</v>
      </c>
      <c r="AX313" t="s">
        <v>74</v>
      </c>
      <c r="AY313" t="s">
        <v>74</v>
      </c>
      <c r="AZ313" t="s">
        <v>74</v>
      </c>
      <c r="BA313" t="s">
        <v>74</v>
      </c>
      <c r="BB313">
        <v>509</v>
      </c>
      <c r="BC313">
        <v>531</v>
      </c>
      <c r="BD313" t="s">
        <v>74</v>
      </c>
      <c r="BE313" t="s">
        <v>5271</v>
      </c>
      <c r="BF313" t="str">
        <f>HYPERLINK("http://dx.doi.org/10.1016/j.cretres.2006.08.006","http://dx.doi.org/10.1016/j.cretres.2006.08.006")</f>
        <v>http://dx.doi.org/10.1016/j.cretres.2006.08.006</v>
      </c>
      <c r="BG313" t="s">
        <v>74</v>
      </c>
      <c r="BH313" t="s">
        <v>74</v>
      </c>
      <c r="BI313">
        <v>23</v>
      </c>
      <c r="BJ313" t="s">
        <v>5272</v>
      </c>
      <c r="BK313" t="s">
        <v>98</v>
      </c>
      <c r="BL313" t="s">
        <v>5272</v>
      </c>
      <c r="BM313" t="s">
        <v>5273</v>
      </c>
      <c r="BN313" t="s">
        <v>74</v>
      </c>
      <c r="BO313" t="s">
        <v>74</v>
      </c>
      <c r="BP313" t="s">
        <v>74</v>
      </c>
      <c r="BQ313" t="s">
        <v>74</v>
      </c>
      <c r="BR313" t="s">
        <v>101</v>
      </c>
      <c r="BS313" t="s">
        <v>5274</v>
      </c>
      <c r="BT313" t="str">
        <f>HYPERLINK("https%3A%2F%2Fwww.webofscience.com%2Fwos%2Fwoscc%2Ffull-record%2FWOS:000247316900009","View Full Record in Web of Science")</f>
        <v>View Full Record in Web of Science</v>
      </c>
    </row>
    <row r="314" spans="1:72" x14ac:dyDescent="0.15">
      <c r="A314" t="s">
        <v>72</v>
      </c>
      <c r="B314" t="s">
        <v>5275</v>
      </c>
      <c r="C314" t="s">
        <v>74</v>
      </c>
      <c r="D314" t="s">
        <v>74</v>
      </c>
      <c r="E314" t="s">
        <v>74</v>
      </c>
      <c r="F314" t="s">
        <v>5276</v>
      </c>
      <c r="G314" t="s">
        <v>74</v>
      </c>
      <c r="H314" t="s">
        <v>74</v>
      </c>
      <c r="I314" t="s">
        <v>5277</v>
      </c>
      <c r="J314" t="s">
        <v>1651</v>
      </c>
      <c r="K314" t="s">
        <v>74</v>
      </c>
      <c r="L314" t="s">
        <v>74</v>
      </c>
      <c r="M314" t="s">
        <v>78</v>
      </c>
      <c r="N314" t="s">
        <v>79</v>
      </c>
      <c r="O314" t="s">
        <v>74</v>
      </c>
      <c r="P314" t="s">
        <v>74</v>
      </c>
      <c r="Q314" t="s">
        <v>74</v>
      </c>
      <c r="R314" t="s">
        <v>74</v>
      </c>
      <c r="S314" t="s">
        <v>74</v>
      </c>
      <c r="T314" t="s">
        <v>5278</v>
      </c>
      <c r="U314" t="s">
        <v>5279</v>
      </c>
      <c r="V314" t="s">
        <v>5280</v>
      </c>
      <c r="W314" t="s">
        <v>5281</v>
      </c>
      <c r="X314" t="s">
        <v>5282</v>
      </c>
      <c r="Y314" t="s">
        <v>5283</v>
      </c>
      <c r="Z314" t="s">
        <v>5284</v>
      </c>
      <c r="AA314" t="s">
        <v>74</v>
      </c>
      <c r="AB314" t="s">
        <v>74</v>
      </c>
      <c r="AC314" t="s">
        <v>74</v>
      </c>
      <c r="AD314" t="s">
        <v>74</v>
      </c>
      <c r="AE314" t="s">
        <v>74</v>
      </c>
      <c r="AF314" t="s">
        <v>74</v>
      </c>
      <c r="AG314">
        <v>63</v>
      </c>
      <c r="AH314">
        <v>183</v>
      </c>
      <c r="AI314">
        <v>212</v>
      </c>
      <c r="AJ314">
        <v>4</v>
      </c>
      <c r="AK314">
        <v>44</v>
      </c>
      <c r="AL314" t="s">
        <v>1503</v>
      </c>
      <c r="AM314" t="s">
        <v>1504</v>
      </c>
      <c r="AN314" t="s">
        <v>1505</v>
      </c>
      <c r="AO314" t="s">
        <v>1661</v>
      </c>
      <c r="AP314" t="s">
        <v>1662</v>
      </c>
      <c r="AQ314" t="s">
        <v>74</v>
      </c>
      <c r="AR314" t="s">
        <v>1663</v>
      </c>
      <c r="AS314" t="s">
        <v>1664</v>
      </c>
      <c r="AT314" t="s">
        <v>4839</v>
      </c>
      <c r="AU314">
        <v>2007</v>
      </c>
      <c r="AV314">
        <v>54</v>
      </c>
      <c r="AW314">
        <v>6</v>
      </c>
      <c r="AX314" t="s">
        <v>74</v>
      </c>
      <c r="AY314" t="s">
        <v>74</v>
      </c>
      <c r="AZ314" t="s">
        <v>74</v>
      </c>
      <c r="BA314" t="s">
        <v>74</v>
      </c>
      <c r="BB314">
        <v>951</v>
      </c>
      <c r="BC314">
        <v>974</v>
      </c>
      <c r="BD314" t="s">
        <v>74</v>
      </c>
      <c r="BE314" t="s">
        <v>5285</v>
      </c>
      <c r="BF314" t="str">
        <f>HYPERLINK("http://dx.doi.org/10.1016/j.dsr.2007.02.007","http://dx.doi.org/10.1016/j.dsr.2007.02.007")</f>
        <v>http://dx.doi.org/10.1016/j.dsr.2007.02.007</v>
      </c>
      <c r="BG314" t="s">
        <v>74</v>
      </c>
      <c r="BH314" t="s">
        <v>74</v>
      </c>
      <c r="BI314">
        <v>24</v>
      </c>
      <c r="BJ314" t="s">
        <v>221</v>
      </c>
      <c r="BK314" t="s">
        <v>98</v>
      </c>
      <c r="BL314" t="s">
        <v>221</v>
      </c>
      <c r="BM314" t="s">
        <v>5286</v>
      </c>
      <c r="BN314" t="s">
        <v>74</v>
      </c>
      <c r="BO314" t="s">
        <v>74</v>
      </c>
      <c r="BP314" t="s">
        <v>74</v>
      </c>
      <c r="BQ314" t="s">
        <v>74</v>
      </c>
      <c r="BR314" t="s">
        <v>101</v>
      </c>
      <c r="BS314" t="s">
        <v>5287</v>
      </c>
      <c r="BT314" t="str">
        <f>HYPERLINK("https%3A%2F%2Fwww.webofscience.com%2Fwos%2Fwoscc%2Ffull-record%2FWOS:000247715600007","View Full Record in Web of Science")</f>
        <v>View Full Record in Web of Science</v>
      </c>
    </row>
    <row r="315" spans="1:72" x14ac:dyDescent="0.15">
      <c r="A315" t="s">
        <v>72</v>
      </c>
      <c r="B315" t="s">
        <v>5288</v>
      </c>
      <c r="C315" t="s">
        <v>74</v>
      </c>
      <c r="D315" t="s">
        <v>74</v>
      </c>
      <c r="E315" t="s">
        <v>74</v>
      </c>
      <c r="F315" t="s">
        <v>5289</v>
      </c>
      <c r="G315" t="s">
        <v>74</v>
      </c>
      <c r="H315" t="s">
        <v>74</v>
      </c>
      <c r="I315" t="s">
        <v>5290</v>
      </c>
      <c r="J315" t="s">
        <v>1651</v>
      </c>
      <c r="K315" t="s">
        <v>74</v>
      </c>
      <c r="L315" t="s">
        <v>74</v>
      </c>
      <c r="M315" t="s">
        <v>78</v>
      </c>
      <c r="N315" t="s">
        <v>79</v>
      </c>
      <c r="O315" t="s">
        <v>74</v>
      </c>
      <c r="P315" t="s">
        <v>74</v>
      </c>
      <c r="Q315" t="s">
        <v>74</v>
      </c>
      <c r="R315" t="s">
        <v>74</v>
      </c>
      <c r="S315" t="s">
        <v>74</v>
      </c>
      <c r="T315" t="s">
        <v>5291</v>
      </c>
      <c r="U315" t="s">
        <v>5292</v>
      </c>
      <c r="V315" t="s">
        <v>5293</v>
      </c>
      <c r="W315" t="s">
        <v>5294</v>
      </c>
      <c r="X315" t="s">
        <v>5295</v>
      </c>
      <c r="Y315" t="s">
        <v>5296</v>
      </c>
      <c r="Z315" t="s">
        <v>5297</v>
      </c>
      <c r="AA315" t="s">
        <v>5298</v>
      </c>
      <c r="AB315" t="s">
        <v>5299</v>
      </c>
      <c r="AC315" t="s">
        <v>74</v>
      </c>
      <c r="AD315" t="s">
        <v>74</v>
      </c>
      <c r="AE315" t="s">
        <v>74</v>
      </c>
      <c r="AF315" t="s">
        <v>74</v>
      </c>
      <c r="AG315">
        <v>54</v>
      </c>
      <c r="AH315">
        <v>93</v>
      </c>
      <c r="AI315">
        <v>112</v>
      </c>
      <c r="AJ315">
        <v>2</v>
      </c>
      <c r="AK315">
        <v>44</v>
      </c>
      <c r="AL315" t="s">
        <v>1503</v>
      </c>
      <c r="AM315" t="s">
        <v>1504</v>
      </c>
      <c r="AN315" t="s">
        <v>1505</v>
      </c>
      <c r="AO315" t="s">
        <v>1661</v>
      </c>
      <c r="AP315" t="s">
        <v>74</v>
      </c>
      <c r="AQ315" t="s">
        <v>74</v>
      </c>
      <c r="AR315" t="s">
        <v>1663</v>
      </c>
      <c r="AS315" t="s">
        <v>1664</v>
      </c>
      <c r="AT315" t="s">
        <v>4839</v>
      </c>
      <c r="AU315">
        <v>2007</v>
      </c>
      <c r="AV315">
        <v>54</v>
      </c>
      <c r="AW315">
        <v>6</v>
      </c>
      <c r="AX315" t="s">
        <v>74</v>
      </c>
      <c r="AY315" t="s">
        <v>74</v>
      </c>
      <c r="AZ315" t="s">
        <v>74</v>
      </c>
      <c r="BA315" t="s">
        <v>74</v>
      </c>
      <c r="BB315">
        <v>1015</v>
      </c>
      <c r="BC315">
        <v>1023</v>
      </c>
      <c r="BD315" t="s">
        <v>74</v>
      </c>
      <c r="BE315" t="s">
        <v>5300</v>
      </c>
      <c r="BF315" t="str">
        <f>HYPERLINK("http://dx.doi.org/10.1016/j.dsr.2007.03.005","http://dx.doi.org/10.1016/j.dsr.2007.03.005")</f>
        <v>http://dx.doi.org/10.1016/j.dsr.2007.03.005</v>
      </c>
      <c r="BG315" t="s">
        <v>74</v>
      </c>
      <c r="BH315" t="s">
        <v>74</v>
      </c>
      <c r="BI315">
        <v>9</v>
      </c>
      <c r="BJ315" t="s">
        <v>221</v>
      </c>
      <c r="BK315" t="s">
        <v>98</v>
      </c>
      <c r="BL315" t="s">
        <v>221</v>
      </c>
      <c r="BM315" t="s">
        <v>5286</v>
      </c>
      <c r="BN315" t="s">
        <v>74</v>
      </c>
      <c r="BO315" t="s">
        <v>198</v>
      </c>
      <c r="BP315" t="s">
        <v>74</v>
      </c>
      <c r="BQ315" t="s">
        <v>74</v>
      </c>
      <c r="BR315" t="s">
        <v>101</v>
      </c>
      <c r="BS315" t="s">
        <v>5301</v>
      </c>
      <c r="BT315" t="str">
        <f>HYPERLINK("https%3A%2F%2Fwww.webofscience.com%2Fwos%2Fwoscc%2Ffull-record%2FWOS:000247715600010","View Full Record in Web of Science")</f>
        <v>View Full Record in Web of Science</v>
      </c>
    </row>
    <row r="316" spans="1:72" x14ac:dyDescent="0.15">
      <c r="A316" t="s">
        <v>72</v>
      </c>
      <c r="B316" t="s">
        <v>5302</v>
      </c>
      <c r="C316" t="s">
        <v>74</v>
      </c>
      <c r="D316" t="s">
        <v>74</v>
      </c>
      <c r="E316" t="s">
        <v>74</v>
      </c>
      <c r="F316" t="s">
        <v>5303</v>
      </c>
      <c r="G316" t="s">
        <v>74</v>
      </c>
      <c r="H316" t="s">
        <v>74</v>
      </c>
      <c r="I316" t="s">
        <v>5304</v>
      </c>
      <c r="J316" t="s">
        <v>1671</v>
      </c>
      <c r="K316" t="s">
        <v>74</v>
      </c>
      <c r="L316" t="s">
        <v>74</v>
      </c>
      <c r="M316" t="s">
        <v>78</v>
      </c>
      <c r="N316" t="s">
        <v>79</v>
      </c>
      <c r="O316" t="s">
        <v>74</v>
      </c>
      <c r="P316" t="s">
        <v>74</v>
      </c>
      <c r="Q316" t="s">
        <v>74</v>
      </c>
      <c r="R316" t="s">
        <v>74</v>
      </c>
      <c r="S316" t="s">
        <v>74</v>
      </c>
      <c r="T316" t="s">
        <v>74</v>
      </c>
      <c r="U316" t="s">
        <v>74</v>
      </c>
      <c r="V316" t="s">
        <v>74</v>
      </c>
      <c r="W316" t="s">
        <v>3253</v>
      </c>
      <c r="X316" t="s">
        <v>2367</v>
      </c>
      <c r="Y316" t="s">
        <v>5305</v>
      </c>
      <c r="Z316" t="s">
        <v>5306</v>
      </c>
      <c r="AA316" t="s">
        <v>74</v>
      </c>
      <c r="AB316" t="s">
        <v>74</v>
      </c>
      <c r="AC316" t="s">
        <v>74</v>
      </c>
      <c r="AD316" t="s">
        <v>74</v>
      </c>
      <c r="AE316" t="s">
        <v>74</v>
      </c>
      <c r="AF316" t="s">
        <v>74</v>
      </c>
      <c r="AG316">
        <v>10</v>
      </c>
      <c r="AH316">
        <v>1</v>
      </c>
      <c r="AI316">
        <v>1</v>
      </c>
      <c r="AJ316">
        <v>0</v>
      </c>
      <c r="AK316">
        <v>0</v>
      </c>
      <c r="AL316" t="s">
        <v>1677</v>
      </c>
      <c r="AM316" t="s">
        <v>1593</v>
      </c>
      <c r="AN316" t="s">
        <v>1678</v>
      </c>
      <c r="AO316" t="s">
        <v>1679</v>
      </c>
      <c r="AP316" t="s">
        <v>1680</v>
      </c>
      <c r="AQ316" t="s">
        <v>74</v>
      </c>
      <c r="AR316" t="s">
        <v>1681</v>
      </c>
      <c r="AS316" t="s">
        <v>1682</v>
      </c>
      <c r="AT316" t="s">
        <v>4839</v>
      </c>
      <c r="AU316">
        <v>2007</v>
      </c>
      <c r="AV316">
        <v>414</v>
      </c>
      <c r="AW316">
        <v>4</v>
      </c>
      <c r="AX316" t="s">
        <v>74</v>
      </c>
      <c r="AY316" t="s">
        <v>74</v>
      </c>
      <c r="AZ316" t="s">
        <v>74</v>
      </c>
      <c r="BA316" t="s">
        <v>74</v>
      </c>
      <c r="BB316">
        <v>650</v>
      </c>
      <c r="BC316">
        <v>654</v>
      </c>
      <c r="BD316" t="s">
        <v>74</v>
      </c>
      <c r="BE316" t="s">
        <v>5307</v>
      </c>
      <c r="BF316" t="str">
        <f>HYPERLINK("http://dx.doi.org/10.1134/S1028334X07040356","http://dx.doi.org/10.1134/S1028334X07040356")</f>
        <v>http://dx.doi.org/10.1134/S1028334X07040356</v>
      </c>
      <c r="BG316" t="s">
        <v>74</v>
      </c>
      <c r="BH316" t="s">
        <v>74</v>
      </c>
      <c r="BI316">
        <v>5</v>
      </c>
      <c r="BJ316" t="s">
        <v>151</v>
      </c>
      <c r="BK316" t="s">
        <v>98</v>
      </c>
      <c r="BL316" t="s">
        <v>152</v>
      </c>
      <c r="BM316" t="s">
        <v>5308</v>
      </c>
      <c r="BN316" t="s">
        <v>74</v>
      </c>
      <c r="BO316" t="s">
        <v>74</v>
      </c>
      <c r="BP316" t="s">
        <v>74</v>
      </c>
      <c r="BQ316" t="s">
        <v>74</v>
      </c>
      <c r="BR316" t="s">
        <v>101</v>
      </c>
      <c r="BS316" t="s">
        <v>5309</v>
      </c>
      <c r="BT316" t="str">
        <f>HYPERLINK("https%3A%2F%2Fwww.webofscience.com%2Fwos%2Fwoscc%2Ffull-record%2FWOS:000247930000035","View Full Record in Web of Science")</f>
        <v>View Full Record in Web of Science</v>
      </c>
    </row>
    <row r="317" spans="1:72" x14ac:dyDescent="0.15">
      <c r="A317" t="s">
        <v>72</v>
      </c>
      <c r="B317" t="s">
        <v>5310</v>
      </c>
      <c r="C317" t="s">
        <v>74</v>
      </c>
      <c r="D317" t="s">
        <v>74</v>
      </c>
      <c r="E317" t="s">
        <v>74</v>
      </c>
      <c r="F317" t="s">
        <v>5311</v>
      </c>
      <c r="G317" t="s">
        <v>74</v>
      </c>
      <c r="H317" t="s">
        <v>74</v>
      </c>
      <c r="I317" t="s">
        <v>5312</v>
      </c>
      <c r="J317" t="s">
        <v>5313</v>
      </c>
      <c r="K317" t="s">
        <v>74</v>
      </c>
      <c r="L317" t="s">
        <v>74</v>
      </c>
      <c r="M317" t="s">
        <v>78</v>
      </c>
      <c r="N317" t="s">
        <v>248</v>
      </c>
      <c r="O317" t="s">
        <v>74</v>
      </c>
      <c r="P317" t="s">
        <v>74</v>
      </c>
      <c r="Q317" t="s">
        <v>74</v>
      </c>
      <c r="R317" t="s">
        <v>74</v>
      </c>
      <c r="S317" t="s">
        <v>74</v>
      </c>
      <c r="T317" t="s">
        <v>5314</v>
      </c>
      <c r="U317" t="s">
        <v>5315</v>
      </c>
      <c r="V317" t="s">
        <v>5316</v>
      </c>
      <c r="W317" t="s">
        <v>5317</v>
      </c>
      <c r="X317" t="s">
        <v>5318</v>
      </c>
      <c r="Y317" t="s">
        <v>5319</v>
      </c>
      <c r="Z317" t="s">
        <v>5320</v>
      </c>
      <c r="AA317" t="s">
        <v>5321</v>
      </c>
      <c r="AB317" t="s">
        <v>5322</v>
      </c>
      <c r="AC317" t="s">
        <v>74</v>
      </c>
      <c r="AD317" t="s">
        <v>74</v>
      </c>
      <c r="AE317" t="s">
        <v>74</v>
      </c>
      <c r="AF317" t="s">
        <v>74</v>
      </c>
      <c r="AG317">
        <v>442</v>
      </c>
      <c r="AH317">
        <v>554</v>
      </c>
      <c r="AI317">
        <v>628</v>
      </c>
      <c r="AJ317">
        <v>5</v>
      </c>
      <c r="AK317">
        <v>120</v>
      </c>
      <c r="AL317" t="s">
        <v>272</v>
      </c>
      <c r="AM317" t="s">
        <v>273</v>
      </c>
      <c r="AN317" t="s">
        <v>274</v>
      </c>
      <c r="AO317" t="s">
        <v>5323</v>
      </c>
      <c r="AP317" t="s">
        <v>5324</v>
      </c>
      <c r="AQ317" t="s">
        <v>74</v>
      </c>
      <c r="AR317" t="s">
        <v>5325</v>
      </c>
      <c r="AS317" t="s">
        <v>5326</v>
      </c>
      <c r="AT317" t="s">
        <v>4839</v>
      </c>
      <c r="AU317">
        <v>2007</v>
      </c>
      <c r="AV317">
        <v>82</v>
      </c>
      <c r="AW317" t="s">
        <v>686</v>
      </c>
      <c r="AX317" t="s">
        <v>74</v>
      </c>
      <c r="AY317" t="s">
        <v>74</v>
      </c>
      <c r="AZ317" t="s">
        <v>74</v>
      </c>
      <c r="BA317" t="s">
        <v>74</v>
      </c>
      <c r="BB317">
        <v>217</v>
      </c>
      <c r="BC317">
        <v>256</v>
      </c>
      <c r="BD317" t="s">
        <v>74</v>
      </c>
      <c r="BE317" t="s">
        <v>5327</v>
      </c>
      <c r="BF317" t="str">
        <f>HYPERLINK("http://dx.doi.org/10.1016/j.earscirev.2007.03.003","http://dx.doi.org/10.1016/j.earscirev.2007.03.003")</f>
        <v>http://dx.doi.org/10.1016/j.earscirev.2007.03.003</v>
      </c>
      <c r="BG317" t="s">
        <v>74</v>
      </c>
      <c r="BH317" t="s">
        <v>74</v>
      </c>
      <c r="BI317">
        <v>40</v>
      </c>
      <c r="BJ317" t="s">
        <v>151</v>
      </c>
      <c r="BK317" t="s">
        <v>98</v>
      </c>
      <c r="BL317" t="s">
        <v>152</v>
      </c>
      <c r="BM317" t="s">
        <v>5328</v>
      </c>
      <c r="BN317" t="s">
        <v>74</v>
      </c>
      <c r="BO317" t="s">
        <v>74</v>
      </c>
      <c r="BP317" t="s">
        <v>74</v>
      </c>
      <c r="BQ317" t="s">
        <v>74</v>
      </c>
      <c r="BR317" t="s">
        <v>101</v>
      </c>
      <c r="BS317" t="s">
        <v>5329</v>
      </c>
      <c r="BT317" t="str">
        <f>HYPERLINK("https%3A%2F%2Fwww.webofscience.com%2Fwos%2Fwoscc%2Ffull-record%2FWOS:000247798300003","View Full Record in Web of Science")</f>
        <v>View Full Record in Web of Science</v>
      </c>
    </row>
    <row r="318" spans="1:72" x14ac:dyDescent="0.15">
      <c r="A318" t="s">
        <v>72</v>
      </c>
      <c r="B318" t="s">
        <v>5330</v>
      </c>
      <c r="C318" t="s">
        <v>74</v>
      </c>
      <c r="D318" t="s">
        <v>74</v>
      </c>
      <c r="E318" t="s">
        <v>74</v>
      </c>
      <c r="F318" t="s">
        <v>5331</v>
      </c>
      <c r="G318" t="s">
        <v>74</v>
      </c>
      <c r="H318" t="s">
        <v>74</v>
      </c>
      <c r="I318" t="s">
        <v>5332</v>
      </c>
      <c r="J318" t="s">
        <v>5333</v>
      </c>
      <c r="K318" t="s">
        <v>74</v>
      </c>
      <c r="L318" t="s">
        <v>74</v>
      </c>
      <c r="M318" t="s">
        <v>78</v>
      </c>
      <c r="N318" t="s">
        <v>79</v>
      </c>
      <c r="O318" t="s">
        <v>74</v>
      </c>
      <c r="P318" t="s">
        <v>74</v>
      </c>
      <c r="Q318" t="s">
        <v>74</v>
      </c>
      <c r="R318" t="s">
        <v>74</v>
      </c>
      <c r="S318" t="s">
        <v>74</v>
      </c>
      <c r="T318" t="s">
        <v>74</v>
      </c>
      <c r="U318" t="s">
        <v>5334</v>
      </c>
      <c r="V318" t="s">
        <v>5335</v>
      </c>
      <c r="W318" t="s">
        <v>5336</v>
      </c>
      <c r="X318" t="s">
        <v>5337</v>
      </c>
      <c r="Y318" t="s">
        <v>5338</v>
      </c>
      <c r="Z318" t="s">
        <v>5339</v>
      </c>
      <c r="AA318" t="s">
        <v>5340</v>
      </c>
      <c r="AB318" t="s">
        <v>5341</v>
      </c>
      <c r="AC318" t="s">
        <v>74</v>
      </c>
      <c r="AD318" t="s">
        <v>74</v>
      </c>
      <c r="AE318" t="s">
        <v>74</v>
      </c>
      <c r="AF318" t="s">
        <v>74</v>
      </c>
      <c r="AG318">
        <v>44</v>
      </c>
      <c r="AH318">
        <v>31</v>
      </c>
      <c r="AI318">
        <v>39</v>
      </c>
      <c r="AJ318">
        <v>2</v>
      </c>
      <c r="AK318">
        <v>35</v>
      </c>
      <c r="AL318" t="s">
        <v>337</v>
      </c>
      <c r="AM318" t="s">
        <v>142</v>
      </c>
      <c r="AN318" t="s">
        <v>338</v>
      </c>
      <c r="AO318" t="s">
        <v>5342</v>
      </c>
      <c r="AP318" t="s">
        <v>5343</v>
      </c>
      <c r="AQ318" t="s">
        <v>74</v>
      </c>
      <c r="AR318" t="s">
        <v>5344</v>
      </c>
      <c r="AS318" t="s">
        <v>5345</v>
      </c>
      <c r="AT318" t="s">
        <v>5080</v>
      </c>
      <c r="AU318">
        <v>2007</v>
      </c>
      <c r="AV318">
        <v>41</v>
      </c>
      <c r="AW318">
        <v>11</v>
      </c>
      <c r="AX318" t="s">
        <v>74</v>
      </c>
      <c r="AY318" t="s">
        <v>74</v>
      </c>
      <c r="AZ318" t="s">
        <v>74</v>
      </c>
      <c r="BA318" t="s">
        <v>74</v>
      </c>
      <c r="BB318">
        <v>3829</v>
      </c>
      <c r="BC318">
        <v>3835</v>
      </c>
      <c r="BD318" t="s">
        <v>74</v>
      </c>
      <c r="BE318" t="s">
        <v>5346</v>
      </c>
      <c r="BF318" t="str">
        <f>HYPERLINK("http://dx.doi.org/10.1021/es0621187","http://dx.doi.org/10.1021/es0621187")</f>
        <v>http://dx.doi.org/10.1021/es0621187</v>
      </c>
      <c r="BG318" t="s">
        <v>74</v>
      </c>
      <c r="BH318" t="s">
        <v>74</v>
      </c>
      <c r="BI318">
        <v>7</v>
      </c>
      <c r="BJ318" t="s">
        <v>5347</v>
      </c>
      <c r="BK318" t="s">
        <v>98</v>
      </c>
      <c r="BL318" t="s">
        <v>5348</v>
      </c>
      <c r="BM318" t="s">
        <v>5349</v>
      </c>
      <c r="BN318">
        <v>17612156</v>
      </c>
      <c r="BO318" t="s">
        <v>74</v>
      </c>
      <c r="BP318" t="s">
        <v>74</v>
      </c>
      <c r="BQ318" t="s">
        <v>74</v>
      </c>
      <c r="BR318" t="s">
        <v>101</v>
      </c>
      <c r="BS318" t="s">
        <v>5350</v>
      </c>
      <c r="BT318" t="str">
        <f>HYPERLINK("https%3A%2F%2Fwww.webofscience.com%2Fwos%2Fwoscc%2Ffull-record%2FWOS:000246843300004","View Full Record in Web of Science")</f>
        <v>View Full Record in Web of Science</v>
      </c>
    </row>
    <row r="319" spans="1:72" x14ac:dyDescent="0.15">
      <c r="A319" t="s">
        <v>72</v>
      </c>
      <c r="B319" t="s">
        <v>5351</v>
      </c>
      <c r="C319" t="s">
        <v>74</v>
      </c>
      <c r="D319" t="s">
        <v>74</v>
      </c>
      <c r="E319" t="s">
        <v>74</v>
      </c>
      <c r="F319" t="s">
        <v>5352</v>
      </c>
      <c r="G319" t="s">
        <v>74</v>
      </c>
      <c r="H319" t="s">
        <v>74</v>
      </c>
      <c r="I319" t="s">
        <v>5353</v>
      </c>
      <c r="J319" t="s">
        <v>3556</v>
      </c>
      <c r="K319" t="s">
        <v>74</v>
      </c>
      <c r="L319" t="s">
        <v>74</v>
      </c>
      <c r="M319" t="s">
        <v>78</v>
      </c>
      <c r="N319" t="s">
        <v>79</v>
      </c>
      <c r="O319" t="s">
        <v>74</v>
      </c>
      <c r="P319" t="s">
        <v>74</v>
      </c>
      <c r="Q319" t="s">
        <v>74</v>
      </c>
      <c r="R319" t="s">
        <v>74</v>
      </c>
      <c r="S319" t="s">
        <v>74</v>
      </c>
      <c r="T319" t="s">
        <v>5354</v>
      </c>
      <c r="U319" t="s">
        <v>5355</v>
      </c>
      <c r="V319" t="s">
        <v>5356</v>
      </c>
      <c r="W319" t="s">
        <v>5357</v>
      </c>
      <c r="X319" t="s">
        <v>5358</v>
      </c>
      <c r="Y319" t="s">
        <v>5359</v>
      </c>
      <c r="Z319" t="s">
        <v>5360</v>
      </c>
      <c r="AA319" t="s">
        <v>74</v>
      </c>
      <c r="AB319" t="s">
        <v>5361</v>
      </c>
      <c r="AC319" t="s">
        <v>74</v>
      </c>
      <c r="AD319" t="s">
        <v>74</v>
      </c>
      <c r="AE319" t="s">
        <v>74</v>
      </c>
      <c r="AF319" t="s">
        <v>74</v>
      </c>
      <c r="AG319">
        <v>57</v>
      </c>
      <c r="AH319">
        <v>28</v>
      </c>
      <c r="AI319">
        <v>29</v>
      </c>
      <c r="AJ319">
        <v>1</v>
      </c>
      <c r="AK319">
        <v>16</v>
      </c>
      <c r="AL319" t="s">
        <v>5362</v>
      </c>
      <c r="AM319" t="s">
        <v>363</v>
      </c>
      <c r="AN319" t="s">
        <v>3569</v>
      </c>
      <c r="AO319" t="s">
        <v>3570</v>
      </c>
      <c r="AP319" t="s">
        <v>74</v>
      </c>
      <c r="AQ319" t="s">
        <v>74</v>
      </c>
      <c r="AR319" t="s">
        <v>3572</v>
      </c>
      <c r="AS319" t="s">
        <v>3573</v>
      </c>
      <c r="AT319" t="s">
        <v>4839</v>
      </c>
      <c r="AU319">
        <v>2007</v>
      </c>
      <c r="AV319">
        <v>73</v>
      </c>
      <c r="AW319" t="s">
        <v>280</v>
      </c>
      <c r="AX319" t="s">
        <v>74</v>
      </c>
      <c r="AY319" t="s">
        <v>74</v>
      </c>
      <c r="AZ319" t="s">
        <v>74</v>
      </c>
      <c r="BA319" t="s">
        <v>74</v>
      </c>
      <c r="BB319">
        <v>111</v>
      </c>
      <c r="BC319">
        <v>122</v>
      </c>
      <c r="BD319" t="s">
        <v>74</v>
      </c>
      <c r="BE319" t="s">
        <v>5363</v>
      </c>
      <c r="BF319" t="str">
        <f>HYPERLINK("http://dx.doi.org/10.1016/j.ecss.2006.12.015","http://dx.doi.org/10.1016/j.ecss.2006.12.015")</f>
        <v>http://dx.doi.org/10.1016/j.ecss.2006.12.015</v>
      </c>
      <c r="BG319" t="s">
        <v>74</v>
      </c>
      <c r="BH319" t="s">
        <v>74</v>
      </c>
      <c r="BI319">
        <v>12</v>
      </c>
      <c r="BJ319" t="s">
        <v>2093</v>
      </c>
      <c r="BK319" t="s">
        <v>98</v>
      </c>
      <c r="BL319" t="s">
        <v>2093</v>
      </c>
      <c r="BM319" t="s">
        <v>5364</v>
      </c>
      <c r="BN319" t="s">
        <v>74</v>
      </c>
      <c r="BO319" t="s">
        <v>74</v>
      </c>
      <c r="BP319" t="s">
        <v>74</v>
      </c>
      <c r="BQ319" t="s">
        <v>74</v>
      </c>
      <c r="BR319" t="s">
        <v>101</v>
      </c>
      <c r="BS319" t="s">
        <v>5365</v>
      </c>
      <c r="BT319" t="str">
        <f>HYPERLINK("https%3A%2F%2Fwww.webofscience.com%2Fwos%2Fwoscc%2Ffull-record%2FWOS:000246912800012","View Full Record in Web of Science")</f>
        <v>View Full Record in Web of Science</v>
      </c>
    </row>
    <row r="320" spans="1:72" x14ac:dyDescent="0.15">
      <c r="A320" t="s">
        <v>72</v>
      </c>
      <c r="B320" t="s">
        <v>5366</v>
      </c>
      <c r="C320" t="s">
        <v>74</v>
      </c>
      <c r="D320" t="s">
        <v>74</v>
      </c>
      <c r="E320" t="s">
        <v>74</v>
      </c>
      <c r="F320" t="s">
        <v>5367</v>
      </c>
      <c r="G320" t="s">
        <v>74</v>
      </c>
      <c r="H320" t="s">
        <v>74</v>
      </c>
      <c r="I320" t="s">
        <v>5368</v>
      </c>
      <c r="J320" t="s">
        <v>5369</v>
      </c>
      <c r="K320" t="s">
        <v>74</v>
      </c>
      <c r="L320" t="s">
        <v>74</v>
      </c>
      <c r="M320" t="s">
        <v>78</v>
      </c>
      <c r="N320" t="s">
        <v>79</v>
      </c>
      <c r="O320" t="s">
        <v>74</v>
      </c>
      <c r="P320" t="s">
        <v>74</v>
      </c>
      <c r="Q320" t="s">
        <v>74</v>
      </c>
      <c r="R320" t="s">
        <v>74</v>
      </c>
      <c r="S320" t="s">
        <v>74</v>
      </c>
      <c r="T320" t="s">
        <v>74</v>
      </c>
      <c r="U320" t="s">
        <v>5370</v>
      </c>
      <c r="V320" t="s">
        <v>5371</v>
      </c>
      <c r="W320" t="s">
        <v>5372</v>
      </c>
      <c r="X320" t="s">
        <v>74</v>
      </c>
      <c r="Y320" t="s">
        <v>5373</v>
      </c>
      <c r="Z320" t="s">
        <v>5374</v>
      </c>
      <c r="AA320" t="s">
        <v>5375</v>
      </c>
      <c r="AB320" t="s">
        <v>74</v>
      </c>
      <c r="AC320" t="s">
        <v>74</v>
      </c>
      <c r="AD320" t="s">
        <v>74</v>
      </c>
      <c r="AE320" t="s">
        <v>74</v>
      </c>
      <c r="AF320" t="s">
        <v>74</v>
      </c>
      <c r="AG320">
        <v>37</v>
      </c>
      <c r="AH320">
        <v>10</v>
      </c>
      <c r="AI320">
        <v>14</v>
      </c>
      <c r="AJ320">
        <v>0</v>
      </c>
      <c r="AK320">
        <v>26</v>
      </c>
      <c r="AL320" t="s">
        <v>1202</v>
      </c>
      <c r="AM320" t="s">
        <v>1203</v>
      </c>
      <c r="AN320" t="s">
        <v>1204</v>
      </c>
      <c r="AO320" t="s">
        <v>5376</v>
      </c>
      <c r="AP320" t="s">
        <v>5377</v>
      </c>
      <c r="AQ320" t="s">
        <v>74</v>
      </c>
      <c r="AR320" t="s">
        <v>5378</v>
      </c>
      <c r="AS320" t="s">
        <v>5379</v>
      </c>
      <c r="AT320" t="s">
        <v>4839</v>
      </c>
      <c r="AU320">
        <v>2007</v>
      </c>
      <c r="AV320">
        <v>58</v>
      </c>
      <c r="AW320">
        <v>3</v>
      </c>
      <c r="AX320" t="s">
        <v>74</v>
      </c>
      <c r="AY320" t="s">
        <v>74</v>
      </c>
      <c r="AZ320" t="s">
        <v>74</v>
      </c>
      <c r="BA320" t="s">
        <v>74</v>
      </c>
      <c r="BB320">
        <v>704</v>
      </c>
      <c r="BC320">
        <v>713</v>
      </c>
      <c r="BD320" t="s">
        <v>74</v>
      </c>
      <c r="BE320" t="s">
        <v>5380</v>
      </c>
      <c r="BF320" t="str">
        <f>HYPERLINK("http://dx.doi.org/10.1111/j.1365-2389.2006.00857.x","http://dx.doi.org/10.1111/j.1365-2389.2006.00857.x")</f>
        <v>http://dx.doi.org/10.1111/j.1365-2389.2006.00857.x</v>
      </c>
      <c r="BG320" t="s">
        <v>74</v>
      </c>
      <c r="BH320" t="s">
        <v>74</v>
      </c>
      <c r="BI320">
        <v>10</v>
      </c>
      <c r="BJ320" t="s">
        <v>5381</v>
      </c>
      <c r="BK320" t="s">
        <v>98</v>
      </c>
      <c r="BL320" t="s">
        <v>5382</v>
      </c>
      <c r="BM320" t="s">
        <v>5383</v>
      </c>
      <c r="BN320" t="s">
        <v>74</v>
      </c>
      <c r="BO320" t="s">
        <v>74</v>
      </c>
      <c r="BP320" t="s">
        <v>74</v>
      </c>
      <c r="BQ320" t="s">
        <v>74</v>
      </c>
      <c r="BR320" t="s">
        <v>101</v>
      </c>
      <c r="BS320" t="s">
        <v>5384</v>
      </c>
      <c r="BT320" t="str">
        <f>HYPERLINK("https%3A%2F%2Fwww.webofscience.com%2Fwos%2Fwoscc%2Ffull-record%2FWOS:000246427800015","View Full Record in Web of Science")</f>
        <v>View Full Record in Web of Science</v>
      </c>
    </row>
    <row r="321" spans="1:72" x14ac:dyDescent="0.15">
      <c r="A321" t="s">
        <v>72</v>
      </c>
      <c r="B321" t="s">
        <v>5385</v>
      </c>
      <c r="C321" t="s">
        <v>74</v>
      </c>
      <c r="D321" t="s">
        <v>74</v>
      </c>
      <c r="E321" t="s">
        <v>74</v>
      </c>
      <c r="F321" t="s">
        <v>5386</v>
      </c>
      <c r="G321" t="s">
        <v>74</v>
      </c>
      <c r="H321" t="s">
        <v>74</v>
      </c>
      <c r="I321" t="s">
        <v>5387</v>
      </c>
      <c r="J321" t="s">
        <v>1707</v>
      </c>
      <c r="K321" t="s">
        <v>74</v>
      </c>
      <c r="L321" t="s">
        <v>74</v>
      </c>
      <c r="M321" t="s">
        <v>78</v>
      </c>
      <c r="N321" t="s">
        <v>79</v>
      </c>
      <c r="O321" t="s">
        <v>74</v>
      </c>
      <c r="P321" t="s">
        <v>74</v>
      </c>
      <c r="Q321" t="s">
        <v>74</v>
      </c>
      <c r="R321" t="s">
        <v>74</v>
      </c>
      <c r="S321" t="s">
        <v>74</v>
      </c>
      <c r="T321" t="s">
        <v>5388</v>
      </c>
      <c r="U321" t="s">
        <v>5389</v>
      </c>
      <c r="V321" t="s">
        <v>5390</v>
      </c>
      <c r="W321" t="s">
        <v>5391</v>
      </c>
      <c r="X321" t="s">
        <v>5392</v>
      </c>
      <c r="Y321" t="s">
        <v>5393</v>
      </c>
      <c r="Z321" t="s">
        <v>5394</v>
      </c>
      <c r="AA321" t="s">
        <v>5395</v>
      </c>
      <c r="AB321" t="s">
        <v>5396</v>
      </c>
      <c r="AC321" t="s">
        <v>74</v>
      </c>
      <c r="AD321" t="s">
        <v>74</v>
      </c>
      <c r="AE321" t="s">
        <v>74</v>
      </c>
      <c r="AF321" t="s">
        <v>74</v>
      </c>
      <c r="AG321">
        <v>37</v>
      </c>
      <c r="AH321">
        <v>55</v>
      </c>
      <c r="AI321">
        <v>62</v>
      </c>
      <c r="AJ321">
        <v>5</v>
      </c>
      <c r="AK321">
        <v>29</v>
      </c>
      <c r="AL321" t="s">
        <v>1715</v>
      </c>
      <c r="AM321" t="s">
        <v>1504</v>
      </c>
      <c r="AN321" t="s">
        <v>1716</v>
      </c>
      <c r="AO321" t="s">
        <v>1717</v>
      </c>
      <c r="AP321" t="s">
        <v>1718</v>
      </c>
      <c r="AQ321" t="s">
        <v>74</v>
      </c>
      <c r="AR321" t="s">
        <v>1719</v>
      </c>
      <c r="AS321" t="s">
        <v>1720</v>
      </c>
      <c r="AT321" t="s">
        <v>4839</v>
      </c>
      <c r="AU321">
        <v>2007</v>
      </c>
      <c r="AV321">
        <v>60</v>
      </c>
      <c r="AW321">
        <v>3</v>
      </c>
      <c r="AX321" t="s">
        <v>74</v>
      </c>
      <c r="AY321" t="s">
        <v>74</v>
      </c>
      <c r="AZ321" t="s">
        <v>74</v>
      </c>
      <c r="BA321" t="s">
        <v>74</v>
      </c>
      <c r="BB321">
        <v>383</v>
      </c>
      <c r="BC321">
        <v>396</v>
      </c>
      <c r="BD321" t="s">
        <v>74</v>
      </c>
      <c r="BE321" t="s">
        <v>5397</v>
      </c>
      <c r="BF321" t="str">
        <f>HYPERLINK("http://dx.doi.org/10.1111/j.1574-6941.2007.00300.x","http://dx.doi.org/10.1111/j.1574-6941.2007.00300.x")</f>
        <v>http://dx.doi.org/10.1111/j.1574-6941.2007.00300.x</v>
      </c>
      <c r="BG321" t="s">
        <v>74</v>
      </c>
      <c r="BH321" t="s">
        <v>74</v>
      </c>
      <c r="BI321">
        <v>14</v>
      </c>
      <c r="BJ321" t="s">
        <v>1722</v>
      </c>
      <c r="BK321" t="s">
        <v>98</v>
      </c>
      <c r="BL321" t="s">
        <v>1722</v>
      </c>
      <c r="BM321" t="s">
        <v>5398</v>
      </c>
      <c r="BN321">
        <v>17386035</v>
      </c>
      <c r="BO321" t="s">
        <v>304</v>
      </c>
      <c r="BP321" t="s">
        <v>74</v>
      </c>
      <c r="BQ321" t="s">
        <v>74</v>
      </c>
      <c r="BR321" t="s">
        <v>101</v>
      </c>
      <c r="BS321" t="s">
        <v>5399</v>
      </c>
      <c r="BT321" t="str">
        <f>HYPERLINK("https%3A%2F%2Fwww.webofscience.com%2Fwos%2Fwoscc%2Ffull-record%2FWOS:000246708800005","View Full Record in Web of Science")</f>
        <v>View Full Record in Web of Science</v>
      </c>
    </row>
    <row r="322" spans="1:72" x14ac:dyDescent="0.15">
      <c r="A322" t="s">
        <v>72</v>
      </c>
      <c r="B322" t="s">
        <v>5400</v>
      </c>
      <c r="C322" t="s">
        <v>74</v>
      </c>
      <c r="D322" t="s">
        <v>74</v>
      </c>
      <c r="E322" t="s">
        <v>74</v>
      </c>
      <c r="F322" t="s">
        <v>5401</v>
      </c>
      <c r="G322" t="s">
        <v>74</v>
      </c>
      <c r="H322" t="s">
        <v>74</v>
      </c>
      <c r="I322" t="s">
        <v>5402</v>
      </c>
      <c r="J322" t="s">
        <v>5403</v>
      </c>
      <c r="K322" t="s">
        <v>74</v>
      </c>
      <c r="L322" t="s">
        <v>74</v>
      </c>
      <c r="M322" t="s">
        <v>78</v>
      </c>
      <c r="N322" t="s">
        <v>79</v>
      </c>
      <c r="O322" t="s">
        <v>74</v>
      </c>
      <c r="P322" t="s">
        <v>74</v>
      </c>
      <c r="Q322" t="s">
        <v>74</v>
      </c>
      <c r="R322" t="s">
        <v>74</v>
      </c>
      <c r="S322" t="s">
        <v>74</v>
      </c>
      <c r="T322" t="s">
        <v>5404</v>
      </c>
      <c r="U322" t="s">
        <v>5405</v>
      </c>
      <c r="V322" t="s">
        <v>5406</v>
      </c>
      <c r="W322" t="s">
        <v>4766</v>
      </c>
      <c r="X322" t="s">
        <v>1988</v>
      </c>
      <c r="Y322" t="s">
        <v>5407</v>
      </c>
      <c r="Z322" t="s">
        <v>2458</v>
      </c>
      <c r="AA322" t="s">
        <v>5408</v>
      </c>
      <c r="AB322" t="s">
        <v>74</v>
      </c>
      <c r="AC322" t="s">
        <v>5409</v>
      </c>
      <c r="AD322" t="s">
        <v>140</v>
      </c>
      <c r="AE322" t="s">
        <v>74</v>
      </c>
      <c r="AF322" t="s">
        <v>74</v>
      </c>
      <c r="AG322">
        <v>31</v>
      </c>
      <c r="AH322">
        <v>8</v>
      </c>
      <c r="AI322">
        <v>8</v>
      </c>
      <c r="AJ322">
        <v>3</v>
      </c>
      <c r="AK322">
        <v>42</v>
      </c>
      <c r="AL322" t="s">
        <v>1202</v>
      </c>
      <c r="AM322" t="s">
        <v>1203</v>
      </c>
      <c r="AN322" t="s">
        <v>1204</v>
      </c>
      <c r="AO322" t="s">
        <v>5410</v>
      </c>
      <c r="AP322" t="s">
        <v>5411</v>
      </c>
      <c r="AQ322" t="s">
        <v>74</v>
      </c>
      <c r="AR322" t="s">
        <v>5412</v>
      </c>
      <c r="AS322" t="s">
        <v>5413</v>
      </c>
      <c r="AT322" t="s">
        <v>4839</v>
      </c>
      <c r="AU322">
        <v>2007</v>
      </c>
      <c r="AV322">
        <v>21</v>
      </c>
      <c r="AW322">
        <v>3</v>
      </c>
      <c r="AX322" t="s">
        <v>74</v>
      </c>
      <c r="AY322" t="s">
        <v>74</v>
      </c>
      <c r="AZ322" t="s">
        <v>74</v>
      </c>
      <c r="BA322" t="s">
        <v>74</v>
      </c>
      <c r="BB322">
        <v>577</v>
      </c>
      <c r="BC322">
        <v>584</v>
      </c>
      <c r="BD322" t="s">
        <v>74</v>
      </c>
      <c r="BE322" t="s">
        <v>5414</v>
      </c>
      <c r="BF322" t="str">
        <f>HYPERLINK("http://dx.doi.org/10.1111/j.1365-2435.2007.01250.x","http://dx.doi.org/10.1111/j.1365-2435.2007.01250.x")</f>
        <v>http://dx.doi.org/10.1111/j.1365-2435.2007.01250.x</v>
      </c>
      <c r="BG322" t="s">
        <v>74</v>
      </c>
      <c r="BH322" t="s">
        <v>74</v>
      </c>
      <c r="BI322">
        <v>8</v>
      </c>
      <c r="BJ322" t="s">
        <v>910</v>
      </c>
      <c r="BK322" t="s">
        <v>98</v>
      </c>
      <c r="BL322" t="s">
        <v>911</v>
      </c>
      <c r="BM322" t="s">
        <v>5415</v>
      </c>
      <c r="BN322" t="s">
        <v>74</v>
      </c>
      <c r="BO322" t="s">
        <v>177</v>
      </c>
      <c r="BP322" t="s">
        <v>74</v>
      </c>
      <c r="BQ322" t="s">
        <v>74</v>
      </c>
      <c r="BR322" t="s">
        <v>101</v>
      </c>
      <c r="BS322" t="s">
        <v>5416</v>
      </c>
      <c r="BT322" t="str">
        <f>HYPERLINK("https%3A%2F%2Fwww.webofscience.com%2Fwos%2Fwoscc%2Ffull-record%2FWOS:000246708200021","View Full Record in Web of Science")</f>
        <v>View Full Record in Web of Science</v>
      </c>
    </row>
    <row r="323" spans="1:72" x14ac:dyDescent="0.15">
      <c r="A323" t="s">
        <v>72</v>
      </c>
      <c r="B323" t="s">
        <v>5417</v>
      </c>
      <c r="C323" t="s">
        <v>74</v>
      </c>
      <c r="D323" t="s">
        <v>74</v>
      </c>
      <c r="E323" t="s">
        <v>74</v>
      </c>
      <c r="F323" t="s">
        <v>5418</v>
      </c>
      <c r="G323" t="s">
        <v>74</v>
      </c>
      <c r="H323" t="s">
        <v>74</v>
      </c>
      <c r="I323" t="s">
        <v>5419</v>
      </c>
      <c r="J323" t="s">
        <v>5420</v>
      </c>
      <c r="K323" t="s">
        <v>74</v>
      </c>
      <c r="L323" t="s">
        <v>74</v>
      </c>
      <c r="M323" t="s">
        <v>78</v>
      </c>
      <c r="N323" t="s">
        <v>5421</v>
      </c>
      <c r="O323" t="s">
        <v>74</v>
      </c>
      <c r="P323" t="s">
        <v>74</v>
      </c>
      <c r="Q323" t="s">
        <v>74</v>
      </c>
      <c r="R323" t="s">
        <v>74</v>
      </c>
      <c r="S323" t="s">
        <v>74</v>
      </c>
      <c r="T323" t="s">
        <v>74</v>
      </c>
      <c r="U323" t="s">
        <v>74</v>
      </c>
      <c r="V323" t="s">
        <v>74</v>
      </c>
      <c r="W323" t="s">
        <v>5422</v>
      </c>
      <c r="X323" t="s">
        <v>5423</v>
      </c>
      <c r="Y323" t="s">
        <v>5424</v>
      </c>
      <c r="Z323" t="s">
        <v>74</v>
      </c>
      <c r="AA323" t="s">
        <v>74</v>
      </c>
      <c r="AB323" t="s">
        <v>74</v>
      </c>
      <c r="AC323" t="s">
        <v>74</v>
      </c>
      <c r="AD323" t="s">
        <v>74</v>
      </c>
      <c r="AE323" t="s">
        <v>74</v>
      </c>
      <c r="AF323" t="s">
        <v>74</v>
      </c>
      <c r="AG323">
        <v>1</v>
      </c>
      <c r="AH323">
        <v>0</v>
      </c>
      <c r="AI323">
        <v>0</v>
      </c>
      <c r="AJ323">
        <v>0</v>
      </c>
      <c r="AK323">
        <v>1</v>
      </c>
      <c r="AL323" t="s">
        <v>3589</v>
      </c>
      <c r="AM323" t="s">
        <v>1504</v>
      </c>
      <c r="AN323" t="s">
        <v>3590</v>
      </c>
      <c r="AO323" t="s">
        <v>5425</v>
      </c>
      <c r="AP323" t="s">
        <v>74</v>
      </c>
      <c r="AQ323" t="s">
        <v>74</v>
      </c>
      <c r="AR323" t="s">
        <v>5426</v>
      </c>
      <c r="AS323" t="s">
        <v>5427</v>
      </c>
      <c r="AT323" t="s">
        <v>4839</v>
      </c>
      <c r="AU323">
        <v>2007</v>
      </c>
      <c r="AV323">
        <v>173</v>
      </c>
      <c r="AW323" t="s">
        <v>74</v>
      </c>
      <c r="AX323">
        <v>2</v>
      </c>
      <c r="AY323" t="s">
        <v>74</v>
      </c>
      <c r="AZ323" t="s">
        <v>74</v>
      </c>
      <c r="BA323" t="s">
        <v>74</v>
      </c>
      <c r="BB323">
        <v>188</v>
      </c>
      <c r="BC323">
        <v>188</v>
      </c>
      <c r="BD323" t="s">
        <v>74</v>
      </c>
      <c r="BE323" t="s">
        <v>5428</v>
      </c>
      <c r="BF323" t="str">
        <f>HYPERLINK("http://dx.doi.org/10.1111/j.1475-4959.2007.00244_1.x","http://dx.doi.org/10.1111/j.1475-4959.2007.00244_1.x")</f>
        <v>http://dx.doi.org/10.1111/j.1475-4959.2007.00244_1.x</v>
      </c>
      <c r="BG323" t="s">
        <v>74</v>
      </c>
      <c r="BH323" t="s">
        <v>74</v>
      </c>
      <c r="BI323">
        <v>1</v>
      </c>
      <c r="BJ323" t="s">
        <v>3377</v>
      </c>
      <c r="BK323" t="s">
        <v>2746</v>
      </c>
      <c r="BL323" t="s">
        <v>3377</v>
      </c>
      <c r="BM323" t="s">
        <v>5429</v>
      </c>
      <c r="BN323" t="s">
        <v>74</v>
      </c>
      <c r="BO323" t="s">
        <v>74</v>
      </c>
      <c r="BP323" t="s">
        <v>74</v>
      </c>
      <c r="BQ323" t="s">
        <v>74</v>
      </c>
      <c r="BR323" t="s">
        <v>101</v>
      </c>
      <c r="BS323" t="s">
        <v>5430</v>
      </c>
      <c r="BT323" t="str">
        <f>HYPERLINK("https%3A%2F%2Fwww.webofscience.com%2Fwos%2Fwoscc%2Ffull-record%2FWOS:000247476700008","View Full Record in Web of Science")</f>
        <v>View Full Record in Web of Science</v>
      </c>
    </row>
    <row r="324" spans="1:72" x14ac:dyDescent="0.15">
      <c r="A324" t="s">
        <v>72</v>
      </c>
      <c r="B324" t="s">
        <v>5431</v>
      </c>
      <c r="C324" t="s">
        <v>74</v>
      </c>
      <c r="D324" t="s">
        <v>74</v>
      </c>
      <c r="E324" t="s">
        <v>74</v>
      </c>
      <c r="F324" t="s">
        <v>5432</v>
      </c>
      <c r="G324" t="s">
        <v>74</v>
      </c>
      <c r="H324" t="s">
        <v>74</v>
      </c>
      <c r="I324" t="s">
        <v>5433</v>
      </c>
      <c r="J324" t="s">
        <v>1832</v>
      </c>
      <c r="K324" t="s">
        <v>74</v>
      </c>
      <c r="L324" t="s">
        <v>74</v>
      </c>
      <c r="M324" t="s">
        <v>78</v>
      </c>
      <c r="N324" t="s">
        <v>79</v>
      </c>
      <c r="O324" t="s">
        <v>74</v>
      </c>
      <c r="P324" t="s">
        <v>74</v>
      </c>
      <c r="Q324" t="s">
        <v>74</v>
      </c>
      <c r="R324" t="s">
        <v>74</v>
      </c>
      <c r="S324" t="s">
        <v>74</v>
      </c>
      <c r="T324" t="s">
        <v>5434</v>
      </c>
      <c r="U324" t="s">
        <v>5435</v>
      </c>
      <c r="V324" t="s">
        <v>5436</v>
      </c>
      <c r="W324" t="s">
        <v>5437</v>
      </c>
      <c r="X324" t="s">
        <v>5438</v>
      </c>
      <c r="Y324" t="s">
        <v>5439</v>
      </c>
      <c r="Z324" t="s">
        <v>5440</v>
      </c>
      <c r="AA324" t="s">
        <v>5441</v>
      </c>
      <c r="AB324" t="s">
        <v>5442</v>
      </c>
      <c r="AC324" t="s">
        <v>74</v>
      </c>
      <c r="AD324" t="s">
        <v>74</v>
      </c>
      <c r="AE324" t="s">
        <v>74</v>
      </c>
      <c r="AF324" t="s">
        <v>74</v>
      </c>
      <c r="AG324">
        <v>23</v>
      </c>
      <c r="AH324">
        <v>87</v>
      </c>
      <c r="AI324">
        <v>95</v>
      </c>
      <c r="AJ324">
        <v>0</v>
      </c>
      <c r="AK324">
        <v>15</v>
      </c>
      <c r="AL324" t="s">
        <v>5443</v>
      </c>
      <c r="AM324" t="s">
        <v>1263</v>
      </c>
      <c r="AN324" t="s">
        <v>1841</v>
      </c>
      <c r="AO324" t="s">
        <v>1842</v>
      </c>
      <c r="AP324" t="s">
        <v>74</v>
      </c>
      <c r="AQ324" t="s">
        <v>74</v>
      </c>
      <c r="AR324" t="s">
        <v>1832</v>
      </c>
      <c r="AS324" t="s">
        <v>152</v>
      </c>
      <c r="AT324" t="s">
        <v>4839</v>
      </c>
      <c r="AU324">
        <v>2007</v>
      </c>
      <c r="AV324">
        <v>35</v>
      </c>
      <c r="AW324">
        <v>6</v>
      </c>
      <c r="AX324" t="s">
        <v>74</v>
      </c>
      <c r="AY324" t="s">
        <v>74</v>
      </c>
      <c r="AZ324" t="s">
        <v>74</v>
      </c>
      <c r="BA324" t="s">
        <v>74</v>
      </c>
      <c r="BB324">
        <v>551</v>
      </c>
      <c r="BC324">
        <v>554</v>
      </c>
      <c r="BD324" t="s">
        <v>74</v>
      </c>
      <c r="BE324" t="s">
        <v>5444</v>
      </c>
      <c r="BF324" t="str">
        <f>HYPERLINK("http://dx.doi.org/10.1130/G23503A.1","http://dx.doi.org/10.1130/G23503A.1")</f>
        <v>http://dx.doi.org/10.1130/G23503A.1</v>
      </c>
      <c r="BG324" t="s">
        <v>74</v>
      </c>
      <c r="BH324" t="s">
        <v>74</v>
      </c>
      <c r="BI324">
        <v>4</v>
      </c>
      <c r="BJ324" t="s">
        <v>152</v>
      </c>
      <c r="BK324" t="s">
        <v>98</v>
      </c>
      <c r="BL324" t="s">
        <v>152</v>
      </c>
      <c r="BM324" t="s">
        <v>5445</v>
      </c>
      <c r="BN324" t="s">
        <v>74</v>
      </c>
      <c r="BO324" t="s">
        <v>74</v>
      </c>
      <c r="BP324" t="s">
        <v>74</v>
      </c>
      <c r="BQ324" t="s">
        <v>74</v>
      </c>
      <c r="BR324" t="s">
        <v>101</v>
      </c>
      <c r="BS324" t="s">
        <v>5446</v>
      </c>
      <c r="BT324" t="str">
        <f>HYPERLINK("https%3A%2F%2Fwww.webofscience.com%2Fwos%2Fwoscc%2Ffull-record%2FWOS:000247628200018","View Full Record in Web of Science")</f>
        <v>View Full Record in Web of Science</v>
      </c>
    </row>
    <row r="325" spans="1:72" x14ac:dyDescent="0.15">
      <c r="A325" t="s">
        <v>72</v>
      </c>
      <c r="B325" t="s">
        <v>5447</v>
      </c>
      <c r="C325" t="s">
        <v>74</v>
      </c>
      <c r="D325" t="s">
        <v>74</v>
      </c>
      <c r="E325" t="s">
        <v>74</v>
      </c>
      <c r="F325" t="s">
        <v>5448</v>
      </c>
      <c r="G325" t="s">
        <v>74</v>
      </c>
      <c r="H325" t="s">
        <v>74</v>
      </c>
      <c r="I325" t="s">
        <v>5449</v>
      </c>
      <c r="J325" t="s">
        <v>1863</v>
      </c>
      <c r="K325" t="s">
        <v>74</v>
      </c>
      <c r="L325" t="s">
        <v>74</v>
      </c>
      <c r="M325" t="s">
        <v>78</v>
      </c>
      <c r="N325" t="s">
        <v>79</v>
      </c>
      <c r="O325" t="s">
        <v>74</v>
      </c>
      <c r="P325" t="s">
        <v>74</v>
      </c>
      <c r="Q325" t="s">
        <v>74</v>
      </c>
      <c r="R325" t="s">
        <v>74</v>
      </c>
      <c r="S325" t="s">
        <v>74</v>
      </c>
      <c r="T325" t="s">
        <v>74</v>
      </c>
      <c r="U325" t="s">
        <v>5450</v>
      </c>
      <c r="V325" t="s">
        <v>5451</v>
      </c>
      <c r="W325" t="s">
        <v>5452</v>
      </c>
      <c r="X325" t="s">
        <v>5453</v>
      </c>
      <c r="Y325" t="s">
        <v>5454</v>
      </c>
      <c r="Z325" t="s">
        <v>74</v>
      </c>
      <c r="AA325" t="s">
        <v>74</v>
      </c>
      <c r="AB325" t="s">
        <v>74</v>
      </c>
      <c r="AC325" t="s">
        <v>74</v>
      </c>
      <c r="AD325" t="s">
        <v>74</v>
      </c>
      <c r="AE325" t="s">
        <v>74</v>
      </c>
      <c r="AF325" t="s">
        <v>74</v>
      </c>
      <c r="AG325">
        <v>16</v>
      </c>
      <c r="AH325">
        <v>0</v>
      </c>
      <c r="AI325">
        <v>0</v>
      </c>
      <c r="AJ325">
        <v>0</v>
      </c>
      <c r="AK325">
        <v>0</v>
      </c>
      <c r="AL325" t="s">
        <v>1677</v>
      </c>
      <c r="AM325" t="s">
        <v>1593</v>
      </c>
      <c r="AN325" t="s">
        <v>1678</v>
      </c>
      <c r="AO325" t="s">
        <v>1871</v>
      </c>
      <c r="AP325" t="s">
        <v>74</v>
      </c>
      <c r="AQ325" t="s">
        <v>74</v>
      </c>
      <c r="AR325" t="s">
        <v>1873</v>
      </c>
      <c r="AS325" t="s">
        <v>1874</v>
      </c>
      <c r="AT325" t="s">
        <v>4839</v>
      </c>
      <c r="AU325">
        <v>2007</v>
      </c>
      <c r="AV325">
        <v>47</v>
      </c>
      <c r="AW325">
        <v>3</v>
      </c>
      <c r="AX325" t="s">
        <v>74</v>
      </c>
      <c r="AY325" t="s">
        <v>74</v>
      </c>
      <c r="AZ325" t="s">
        <v>74</v>
      </c>
      <c r="BA325" t="s">
        <v>74</v>
      </c>
      <c r="BB325">
        <v>336</v>
      </c>
      <c r="BC325">
        <v>342</v>
      </c>
      <c r="BD325" t="s">
        <v>74</v>
      </c>
      <c r="BE325" t="s">
        <v>5455</v>
      </c>
      <c r="BF325" t="str">
        <f>HYPERLINK("http://dx.doi.org/10.1134/S0016793207030097","http://dx.doi.org/10.1134/S0016793207030097")</f>
        <v>http://dx.doi.org/10.1134/S0016793207030097</v>
      </c>
      <c r="BG325" t="s">
        <v>74</v>
      </c>
      <c r="BH325" t="s">
        <v>74</v>
      </c>
      <c r="BI325">
        <v>7</v>
      </c>
      <c r="BJ325" t="s">
        <v>688</v>
      </c>
      <c r="BK325" t="s">
        <v>98</v>
      </c>
      <c r="BL325" t="s">
        <v>688</v>
      </c>
      <c r="BM325" t="s">
        <v>5456</v>
      </c>
      <c r="BN325" t="s">
        <v>74</v>
      </c>
      <c r="BO325" t="s">
        <v>74</v>
      </c>
      <c r="BP325" t="s">
        <v>74</v>
      </c>
      <c r="BQ325" t="s">
        <v>74</v>
      </c>
      <c r="BR325" t="s">
        <v>101</v>
      </c>
      <c r="BS325" t="s">
        <v>5457</v>
      </c>
      <c r="BT325" t="str">
        <f>HYPERLINK("https%3A%2F%2Fwww.webofscience.com%2Fwos%2Fwoscc%2Ffull-record%2FWOS:000248878000009","View Full Record in Web of Science")</f>
        <v>View Full Record in Web of Science</v>
      </c>
    </row>
    <row r="326" spans="1:72" x14ac:dyDescent="0.15">
      <c r="A326" t="s">
        <v>72</v>
      </c>
      <c r="B326" t="s">
        <v>5458</v>
      </c>
      <c r="C326" t="s">
        <v>74</v>
      </c>
      <c r="D326" t="s">
        <v>74</v>
      </c>
      <c r="E326" t="s">
        <v>74</v>
      </c>
      <c r="F326" t="s">
        <v>5459</v>
      </c>
      <c r="G326" t="s">
        <v>74</v>
      </c>
      <c r="H326" t="s">
        <v>74</v>
      </c>
      <c r="I326" t="s">
        <v>5460</v>
      </c>
      <c r="J326" t="s">
        <v>130</v>
      </c>
      <c r="K326" t="s">
        <v>74</v>
      </c>
      <c r="L326" t="s">
        <v>74</v>
      </c>
      <c r="M326" t="s">
        <v>78</v>
      </c>
      <c r="N326" t="s">
        <v>79</v>
      </c>
      <c r="O326" t="s">
        <v>74</v>
      </c>
      <c r="P326" t="s">
        <v>74</v>
      </c>
      <c r="Q326" t="s">
        <v>74</v>
      </c>
      <c r="R326" t="s">
        <v>74</v>
      </c>
      <c r="S326" t="s">
        <v>74</v>
      </c>
      <c r="T326" t="s">
        <v>74</v>
      </c>
      <c r="U326" t="s">
        <v>5461</v>
      </c>
      <c r="V326" t="s">
        <v>5462</v>
      </c>
      <c r="W326" t="s">
        <v>5463</v>
      </c>
      <c r="X326" t="s">
        <v>5464</v>
      </c>
      <c r="Y326" t="s">
        <v>5465</v>
      </c>
      <c r="Z326" t="s">
        <v>5466</v>
      </c>
      <c r="AA326" t="s">
        <v>5467</v>
      </c>
      <c r="AB326" t="s">
        <v>5468</v>
      </c>
      <c r="AC326" t="s">
        <v>74</v>
      </c>
      <c r="AD326" t="s">
        <v>74</v>
      </c>
      <c r="AE326" t="s">
        <v>74</v>
      </c>
      <c r="AF326" t="s">
        <v>74</v>
      </c>
      <c r="AG326">
        <v>37</v>
      </c>
      <c r="AH326">
        <v>68</v>
      </c>
      <c r="AI326">
        <v>70</v>
      </c>
      <c r="AJ326">
        <v>0</v>
      </c>
      <c r="AK326">
        <v>26</v>
      </c>
      <c r="AL326" t="s">
        <v>141</v>
      </c>
      <c r="AM326" t="s">
        <v>142</v>
      </c>
      <c r="AN326" t="s">
        <v>143</v>
      </c>
      <c r="AO326" t="s">
        <v>144</v>
      </c>
      <c r="AP326" t="s">
        <v>145</v>
      </c>
      <c r="AQ326" t="s">
        <v>74</v>
      </c>
      <c r="AR326" t="s">
        <v>146</v>
      </c>
      <c r="AS326" t="s">
        <v>147</v>
      </c>
      <c r="AT326" t="s">
        <v>5080</v>
      </c>
      <c r="AU326">
        <v>2007</v>
      </c>
      <c r="AV326">
        <v>34</v>
      </c>
      <c r="AW326">
        <v>11</v>
      </c>
      <c r="AX326" t="s">
        <v>74</v>
      </c>
      <c r="AY326" t="s">
        <v>74</v>
      </c>
      <c r="AZ326" t="s">
        <v>74</v>
      </c>
      <c r="BA326" t="s">
        <v>74</v>
      </c>
      <c r="BB326" t="s">
        <v>74</v>
      </c>
      <c r="BC326" t="s">
        <v>74</v>
      </c>
      <c r="BD326" t="s">
        <v>5469</v>
      </c>
      <c r="BE326" t="s">
        <v>5470</v>
      </c>
      <c r="BF326" t="str">
        <f>HYPERLINK("http://dx.doi.org/10.1029/2006GL029096","http://dx.doi.org/10.1029/2006GL029096")</f>
        <v>http://dx.doi.org/10.1029/2006GL029096</v>
      </c>
      <c r="BG326" t="s">
        <v>74</v>
      </c>
      <c r="BH326" t="s">
        <v>74</v>
      </c>
      <c r="BI326">
        <v>4</v>
      </c>
      <c r="BJ326" t="s">
        <v>151</v>
      </c>
      <c r="BK326" t="s">
        <v>98</v>
      </c>
      <c r="BL326" t="s">
        <v>152</v>
      </c>
      <c r="BM326" t="s">
        <v>5471</v>
      </c>
      <c r="BN326" t="s">
        <v>74</v>
      </c>
      <c r="BO326" t="s">
        <v>3113</v>
      </c>
      <c r="BP326" t="s">
        <v>74</v>
      </c>
      <c r="BQ326" t="s">
        <v>74</v>
      </c>
      <c r="BR326" t="s">
        <v>101</v>
      </c>
      <c r="BS326" t="s">
        <v>5472</v>
      </c>
      <c r="BT326" t="str">
        <f>HYPERLINK("https%3A%2F%2Fwww.webofscience.com%2Fwos%2Fwoscc%2Ffull-record%2FWOS:000246939800002","View Full Record in Web of Science")</f>
        <v>View Full Record in Web of Science</v>
      </c>
    </row>
    <row r="327" spans="1:72" x14ac:dyDescent="0.15">
      <c r="A327" t="s">
        <v>72</v>
      </c>
      <c r="B327" t="s">
        <v>5473</v>
      </c>
      <c r="C327" t="s">
        <v>74</v>
      </c>
      <c r="D327" t="s">
        <v>74</v>
      </c>
      <c r="E327" t="s">
        <v>74</v>
      </c>
      <c r="F327" t="s">
        <v>5474</v>
      </c>
      <c r="G327" t="s">
        <v>74</v>
      </c>
      <c r="H327" t="s">
        <v>74</v>
      </c>
      <c r="I327" t="s">
        <v>5475</v>
      </c>
      <c r="J327" t="s">
        <v>5476</v>
      </c>
      <c r="K327" t="s">
        <v>74</v>
      </c>
      <c r="L327" t="s">
        <v>74</v>
      </c>
      <c r="M327" t="s">
        <v>78</v>
      </c>
      <c r="N327" t="s">
        <v>229</v>
      </c>
      <c r="O327" t="s">
        <v>74</v>
      </c>
      <c r="P327" t="s">
        <v>74</v>
      </c>
      <c r="Q327" t="s">
        <v>74</v>
      </c>
      <c r="R327" t="s">
        <v>74</v>
      </c>
      <c r="S327" t="s">
        <v>74</v>
      </c>
      <c r="T327" t="s">
        <v>74</v>
      </c>
      <c r="U327" t="s">
        <v>74</v>
      </c>
      <c r="V327" t="s">
        <v>74</v>
      </c>
      <c r="W327" t="s">
        <v>74</v>
      </c>
      <c r="X327" t="s">
        <v>74</v>
      </c>
      <c r="Y327" t="s">
        <v>74</v>
      </c>
      <c r="Z327" t="s">
        <v>74</v>
      </c>
      <c r="AA327" t="s">
        <v>74</v>
      </c>
      <c r="AB327" t="s">
        <v>74</v>
      </c>
      <c r="AC327" t="s">
        <v>74</v>
      </c>
      <c r="AD327" t="s">
        <v>74</v>
      </c>
      <c r="AE327" t="s">
        <v>74</v>
      </c>
      <c r="AF327" t="s">
        <v>74</v>
      </c>
      <c r="AG327">
        <v>0</v>
      </c>
      <c r="AH327">
        <v>0</v>
      </c>
      <c r="AI327">
        <v>0</v>
      </c>
      <c r="AJ327">
        <v>0</v>
      </c>
      <c r="AK327">
        <v>0</v>
      </c>
      <c r="AL327" t="s">
        <v>5477</v>
      </c>
      <c r="AM327" t="s">
        <v>1570</v>
      </c>
      <c r="AN327" t="s">
        <v>5478</v>
      </c>
      <c r="AO327" t="s">
        <v>5479</v>
      </c>
      <c r="AP327" t="s">
        <v>74</v>
      </c>
      <c r="AQ327" t="s">
        <v>74</v>
      </c>
      <c r="AR327" t="s">
        <v>5476</v>
      </c>
      <c r="AS327" t="s">
        <v>5480</v>
      </c>
      <c r="AT327" t="s">
        <v>4839</v>
      </c>
      <c r="AU327">
        <v>2007</v>
      </c>
      <c r="AV327">
        <v>52</v>
      </c>
      <c r="AW327">
        <v>6</v>
      </c>
      <c r="AX327" t="s">
        <v>74</v>
      </c>
      <c r="AY327" t="s">
        <v>74</v>
      </c>
      <c r="AZ327" t="s">
        <v>74</v>
      </c>
      <c r="BA327" t="s">
        <v>74</v>
      </c>
      <c r="BB327">
        <v>12</v>
      </c>
      <c r="BC327">
        <v>13</v>
      </c>
      <c r="BD327" t="s">
        <v>74</v>
      </c>
      <c r="BE327" t="s">
        <v>74</v>
      </c>
      <c r="BF327" t="s">
        <v>74</v>
      </c>
      <c r="BG327" t="s">
        <v>74</v>
      </c>
      <c r="BH327" t="s">
        <v>74</v>
      </c>
      <c r="BI327">
        <v>2</v>
      </c>
      <c r="BJ327" t="s">
        <v>151</v>
      </c>
      <c r="BK327" t="s">
        <v>98</v>
      </c>
      <c r="BL327" t="s">
        <v>152</v>
      </c>
      <c r="BM327" t="s">
        <v>5481</v>
      </c>
      <c r="BN327" t="s">
        <v>74</v>
      </c>
      <c r="BO327" t="s">
        <v>74</v>
      </c>
      <c r="BP327" t="s">
        <v>74</v>
      </c>
      <c r="BQ327" t="s">
        <v>74</v>
      </c>
      <c r="BR327" t="s">
        <v>101</v>
      </c>
      <c r="BS327" t="s">
        <v>5482</v>
      </c>
      <c r="BT327" t="str">
        <f>HYPERLINK("https%3A%2F%2Fwww.webofscience.com%2Fwos%2Fwoscc%2Ffull-record%2FWOS:000247249000012","View Full Record in Web of Science")</f>
        <v>View Full Record in Web of Science</v>
      </c>
    </row>
    <row r="328" spans="1:72" x14ac:dyDescent="0.15">
      <c r="A328" t="s">
        <v>72</v>
      </c>
      <c r="B328" t="s">
        <v>5483</v>
      </c>
      <c r="C328" t="s">
        <v>74</v>
      </c>
      <c r="D328" t="s">
        <v>74</v>
      </c>
      <c r="E328" t="s">
        <v>74</v>
      </c>
      <c r="F328" t="s">
        <v>5484</v>
      </c>
      <c r="G328" t="s">
        <v>74</v>
      </c>
      <c r="H328" t="s">
        <v>74</v>
      </c>
      <c r="I328" t="s">
        <v>5485</v>
      </c>
      <c r="J328" t="s">
        <v>5486</v>
      </c>
      <c r="K328" t="s">
        <v>74</v>
      </c>
      <c r="L328" t="s">
        <v>74</v>
      </c>
      <c r="M328" t="s">
        <v>78</v>
      </c>
      <c r="N328" t="s">
        <v>79</v>
      </c>
      <c r="O328" t="s">
        <v>74</v>
      </c>
      <c r="P328" t="s">
        <v>74</v>
      </c>
      <c r="Q328" t="s">
        <v>74</v>
      </c>
      <c r="R328" t="s">
        <v>74</v>
      </c>
      <c r="S328" t="s">
        <v>74</v>
      </c>
      <c r="T328" t="s">
        <v>5487</v>
      </c>
      <c r="U328" t="s">
        <v>5488</v>
      </c>
      <c r="V328" t="s">
        <v>5489</v>
      </c>
      <c r="W328" t="s">
        <v>5490</v>
      </c>
      <c r="X328" t="s">
        <v>5491</v>
      </c>
      <c r="Y328" t="s">
        <v>5492</v>
      </c>
      <c r="Z328" t="s">
        <v>5493</v>
      </c>
      <c r="AA328" t="s">
        <v>2511</v>
      </c>
      <c r="AB328" t="s">
        <v>74</v>
      </c>
      <c r="AC328" t="s">
        <v>74</v>
      </c>
      <c r="AD328" t="s">
        <v>74</v>
      </c>
      <c r="AE328" t="s">
        <v>74</v>
      </c>
      <c r="AF328" t="s">
        <v>74</v>
      </c>
      <c r="AG328">
        <v>40</v>
      </c>
      <c r="AH328">
        <v>37</v>
      </c>
      <c r="AI328">
        <v>37</v>
      </c>
      <c r="AJ328">
        <v>0</v>
      </c>
      <c r="AK328">
        <v>25</v>
      </c>
      <c r="AL328" t="s">
        <v>3589</v>
      </c>
      <c r="AM328" t="s">
        <v>1504</v>
      </c>
      <c r="AN328" t="s">
        <v>3590</v>
      </c>
      <c r="AO328" t="s">
        <v>5494</v>
      </c>
      <c r="AP328" t="s">
        <v>74</v>
      </c>
      <c r="AQ328" t="s">
        <v>74</v>
      </c>
      <c r="AR328" t="s">
        <v>5495</v>
      </c>
      <c r="AS328" t="s">
        <v>5496</v>
      </c>
      <c r="AT328" t="s">
        <v>4839</v>
      </c>
      <c r="AU328">
        <v>2007</v>
      </c>
      <c r="AV328">
        <v>13</v>
      </c>
      <c r="AW328">
        <v>6</v>
      </c>
      <c r="AX328" t="s">
        <v>74</v>
      </c>
      <c r="AY328" t="s">
        <v>74</v>
      </c>
      <c r="AZ328" t="s">
        <v>74</v>
      </c>
      <c r="BA328" t="s">
        <v>74</v>
      </c>
      <c r="BB328">
        <v>1201</v>
      </c>
      <c r="BC328">
        <v>1215</v>
      </c>
      <c r="BD328" t="s">
        <v>74</v>
      </c>
      <c r="BE328" t="s">
        <v>5497</v>
      </c>
      <c r="BF328" t="str">
        <f>HYPERLINK("http://dx.doi.org/10.1111/j.1365-2486.2007.01349.x","http://dx.doi.org/10.1111/j.1365-2486.2007.01349.x")</f>
        <v>http://dx.doi.org/10.1111/j.1365-2486.2007.01349.x</v>
      </c>
      <c r="BG328" t="s">
        <v>74</v>
      </c>
      <c r="BH328" t="s">
        <v>74</v>
      </c>
      <c r="BI328">
        <v>15</v>
      </c>
      <c r="BJ328" t="s">
        <v>3416</v>
      </c>
      <c r="BK328" t="s">
        <v>98</v>
      </c>
      <c r="BL328" t="s">
        <v>99</v>
      </c>
      <c r="BM328" t="s">
        <v>5498</v>
      </c>
      <c r="BN328" t="s">
        <v>74</v>
      </c>
      <c r="BO328" t="s">
        <v>1249</v>
      </c>
      <c r="BP328" t="s">
        <v>74</v>
      </c>
      <c r="BQ328" t="s">
        <v>74</v>
      </c>
      <c r="BR328" t="s">
        <v>101</v>
      </c>
      <c r="BS328" t="s">
        <v>5499</v>
      </c>
      <c r="BT328" t="str">
        <f>HYPERLINK("https%3A%2F%2Fwww.webofscience.com%2Fwos%2Fwoscc%2Ffull-record%2FWOS:000247226300009","View Full Record in Web of Science")</f>
        <v>View Full Record in Web of Science</v>
      </c>
    </row>
    <row r="329" spans="1:72" x14ac:dyDescent="0.15">
      <c r="A329" t="s">
        <v>72</v>
      </c>
      <c r="B329" t="s">
        <v>5500</v>
      </c>
      <c r="C329" t="s">
        <v>74</v>
      </c>
      <c r="D329" t="s">
        <v>74</v>
      </c>
      <c r="E329" t="s">
        <v>74</v>
      </c>
      <c r="F329" t="s">
        <v>5501</v>
      </c>
      <c r="G329" t="s">
        <v>74</v>
      </c>
      <c r="H329" t="s">
        <v>74</v>
      </c>
      <c r="I329" t="s">
        <v>5502</v>
      </c>
      <c r="J329" t="s">
        <v>5486</v>
      </c>
      <c r="K329" t="s">
        <v>74</v>
      </c>
      <c r="L329" t="s">
        <v>74</v>
      </c>
      <c r="M329" t="s">
        <v>78</v>
      </c>
      <c r="N329" t="s">
        <v>79</v>
      </c>
      <c r="O329" t="s">
        <v>74</v>
      </c>
      <c r="P329" t="s">
        <v>74</v>
      </c>
      <c r="Q329" t="s">
        <v>74</v>
      </c>
      <c r="R329" t="s">
        <v>74</v>
      </c>
      <c r="S329" t="s">
        <v>74</v>
      </c>
      <c r="T329" t="s">
        <v>5503</v>
      </c>
      <c r="U329" t="s">
        <v>5504</v>
      </c>
      <c r="V329" t="s">
        <v>5505</v>
      </c>
      <c r="W329" t="s">
        <v>5506</v>
      </c>
      <c r="X329" t="s">
        <v>5507</v>
      </c>
      <c r="Y329" t="s">
        <v>5508</v>
      </c>
      <c r="Z329" t="s">
        <v>5509</v>
      </c>
      <c r="AA329" t="s">
        <v>5510</v>
      </c>
      <c r="AB329" t="s">
        <v>5511</v>
      </c>
      <c r="AC329" t="s">
        <v>74</v>
      </c>
      <c r="AD329" t="s">
        <v>74</v>
      </c>
      <c r="AE329" t="s">
        <v>74</v>
      </c>
      <c r="AF329" t="s">
        <v>74</v>
      </c>
      <c r="AG329">
        <v>66</v>
      </c>
      <c r="AH329">
        <v>56</v>
      </c>
      <c r="AI329">
        <v>64</v>
      </c>
      <c r="AJ329">
        <v>2</v>
      </c>
      <c r="AK329">
        <v>68</v>
      </c>
      <c r="AL329" t="s">
        <v>1202</v>
      </c>
      <c r="AM329" t="s">
        <v>1203</v>
      </c>
      <c r="AN329" t="s">
        <v>1204</v>
      </c>
      <c r="AO329" t="s">
        <v>5494</v>
      </c>
      <c r="AP329" t="s">
        <v>5512</v>
      </c>
      <c r="AQ329" t="s">
        <v>74</v>
      </c>
      <c r="AR329" t="s">
        <v>5495</v>
      </c>
      <c r="AS329" t="s">
        <v>5496</v>
      </c>
      <c r="AT329" t="s">
        <v>4839</v>
      </c>
      <c r="AU329">
        <v>2007</v>
      </c>
      <c r="AV329">
        <v>13</v>
      </c>
      <c r="AW329">
        <v>6</v>
      </c>
      <c r="AX329" t="s">
        <v>74</v>
      </c>
      <c r="AY329" t="s">
        <v>74</v>
      </c>
      <c r="AZ329" t="s">
        <v>74</v>
      </c>
      <c r="BA329" t="s">
        <v>74</v>
      </c>
      <c r="BB329">
        <v>1224</v>
      </c>
      <c r="BC329">
        <v>1237</v>
      </c>
      <c r="BD329" t="s">
        <v>74</v>
      </c>
      <c r="BE329" t="s">
        <v>5513</v>
      </c>
      <c r="BF329" t="str">
        <f>HYPERLINK("http://dx.doi.org/10.1111/j.1365-2486.2007.01354.x","http://dx.doi.org/10.1111/j.1365-2486.2007.01354.x")</f>
        <v>http://dx.doi.org/10.1111/j.1365-2486.2007.01354.x</v>
      </c>
      <c r="BG329" t="s">
        <v>74</v>
      </c>
      <c r="BH329" t="s">
        <v>74</v>
      </c>
      <c r="BI329">
        <v>14</v>
      </c>
      <c r="BJ329" t="s">
        <v>3416</v>
      </c>
      <c r="BK329" t="s">
        <v>98</v>
      </c>
      <c r="BL329" t="s">
        <v>99</v>
      </c>
      <c r="BM329" t="s">
        <v>5498</v>
      </c>
      <c r="BN329" t="s">
        <v>74</v>
      </c>
      <c r="BO329" t="s">
        <v>74</v>
      </c>
      <c r="BP329" t="s">
        <v>74</v>
      </c>
      <c r="BQ329" t="s">
        <v>74</v>
      </c>
      <c r="BR329" t="s">
        <v>101</v>
      </c>
      <c r="BS329" t="s">
        <v>5514</v>
      </c>
      <c r="BT329" t="str">
        <f>HYPERLINK("https%3A%2F%2Fwww.webofscience.com%2Fwos%2Fwoscc%2Ffull-record%2FWOS:000247226300011","View Full Record in Web of Science")</f>
        <v>View Full Record in Web of Science</v>
      </c>
    </row>
    <row r="330" spans="1:72" x14ac:dyDescent="0.15">
      <c r="A330" t="s">
        <v>72</v>
      </c>
      <c r="B330" t="s">
        <v>5515</v>
      </c>
      <c r="C330" t="s">
        <v>74</v>
      </c>
      <c r="D330" t="s">
        <v>74</v>
      </c>
      <c r="E330" t="s">
        <v>74</v>
      </c>
      <c r="F330" t="s">
        <v>5516</v>
      </c>
      <c r="G330" t="s">
        <v>74</v>
      </c>
      <c r="H330" t="s">
        <v>74</v>
      </c>
      <c r="I330" t="s">
        <v>5517</v>
      </c>
      <c r="J330" t="s">
        <v>3649</v>
      </c>
      <c r="K330" t="s">
        <v>74</v>
      </c>
      <c r="L330" t="s">
        <v>74</v>
      </c>
      <c r="M330" t="s">
        <v>78</v>
      </c>
      <c r="N330" t="s">
        <v>79</v>
      </c>
      <c r="O330" t="s">
        <v>74</v>
      </c>
      <c r="P330" t="s">
        <v>74</v>
      </c>
      <c r="Q330" t="s">
        <v>74</v>
      </c>
      <c r="R330" t="s">
        <v>74</v>
      </c>
      <c r="S330" t="s">
        <v>74</v>
      </c>
      <c r="T330" t="s">
        <v>5518</v>
      </c>
      <c r="U330" t="s">
        <v>5519</v>
      </c>
      <c r="V330" t="s">
        <v>5520</v>
      </c>
      <c r="W330" t="s">
        <v>5521</v>
      </c>
      <c r="X330" t="s">
        <v>5522</v>
      </c>
      <c r="Y330" t="s">
        <v>5523</v>
      </c>
      <c r="Z330" t="s">
        <v>5524</v>
      </c>
      <c r="AA330" t="s">
        <v>5525</v>
      </c>
      <c r="AB330" t="s">
        <v>5526</v>
      </c>
      <c r="AC330" t="s">
        <v>74</v>
      </c>
      <c r="AD330" t="s">
        <v>74</v>
      </c>
      <c r="AE330" t="s">
        <v>74</v>
      </c>
      <c r="AF330" t="s">
        <v>74</v>
      </c>
      <c r="AG330">
        <v>60</v>
      </c>
      <c r="AH330">
        <v>7</v>
      </c>
      <c r="AI330">
        <v>7</v>
      </c>
      <c r="AJ330">
        <v>0</v>
      </c>
      <c r="AK330">
        <v>5</v>
      </c>
      <c r="AL330" t="s">
        <v>1592</v>
      </c>
      <c r="AM330" t="s">
        <v>2052</v>
      </c>
      <c r="AN330" t="s">
        <v>2053</v>
      </c>
      <c r="AO330" t="s">
        <v>3660</v>
      </c>
      <c r="AP330" t="s">
        <v>74</v>
      </c>
      <c r="AQ330" t="s">
        <v>74</v>
      </c>
      <c r="AR330" t="s">
        <v>3649</v>
      </c>
      <c r="AS330" t="s">
        <v>3662</v>
      </c>
      <c r="AT330" t="s">
        <v>4839</v>
      </c>
      <c r="AU330">
        <v>2007</v>
      </c>
      <c r="AV330">
        <v>583</v>
      </c>
      <c r="AW330" t="s">
        <v>74</v>
      </c>
      <c r="AX330" t="s">
        <v>74</v>
      </c>
      <c r="AY330" t="s">
        <v>74</v>
      </c>
      <c r="AZ330" t="s">
        <v>74</v>
      </c>
      <c r="BA330" t="s">
        <v>74</v>
      </c>
      <c r="BB330">
        <v>141</v>
      </c>
      <c r="BC330">
        <v>163</v>
      </c>
      <c r="BD330" t="s">
        <v>74</v>
      </c>
      <c r="BE330" t="s">
        <v>5527</v>
      </c>
      <c r="BF330" t="str">
        <f>HYPERLINK("http://dx.doi.org/10.1007/s10750-006-0482-8","http://dx.doi.org/10.1007/s10750-006-0482-8")</f>
        <v>http://dx.doi.org/10.1007/s10750-006-0482-8</v>
      </c>
      <c r="BG330" t="s">
        <v>74</v>
      </c>
      <c r="BH330" t="s">
        <v>74</v>
      </c>
      <c r="BI330">
        <v>23</v>
      </c>
      <c r="BJ330" t="s">
        <v>2178</v>
      </c>
      <c r="BK330" t="s">
        <v>98</v>
      </c>
      <c r="BL330" t="s">
        <v>2178</v>
      </c>
      <c r="BM330" t="s">
        <v>5528</v>
      </c>
      <c r="BN330" t="s">
        <v>74</v>
      </c>
      <c r="BO330" t="s">
        <v>198</v>
      </c>
      <c r="BP330" t="s">
        <v>74</v>
      </c>
      <c r="BQ330" t="s">
        <v>74</v>
      </c>
      <c r="BR330" t="s">
        <v>101</v>
      </c>
      <c r="BS330" t="s">
        <v>5529</v>
      </c>
      <c r="BT330" t="str">
        <f>HYPERLINK("https%3A%2F%2Fwww.webofscience.com%2Fwos%2Fwoscc%2Ffull-record%2FWOS:000245358700011","View Full Record in Web of Science")</f>
        <v>View Full Record in Web of Science</v>
      </c>
    </row>
    <row r="331" spans="1:72" x14ac:dyDescent="0.15">
      <c r="A331" t="s">
        <v>72</v>
      </c>
      <c r="B331" t="s">
        <v>5530</v>
      </c>
      <c r="C331" t="s">
        <v>74</v>
      </c>
      <c r="D331" t="s">
        <v>74</v>
      </c>
      <c r="E331" t="s">
        <v>74</v>
      </c>
      <c r="F331" t="s">
        <v>5531</v>
      </c>
      <c r="G331" t="s">
        <v>74</v>
      </c>
      <c r="H331" t="s">
        <v>74</v>
      </c>
      <c r="I331" t="s">
        <v>5532</v>
      </c>
      <c r="J331" t="s">
        <v>5533</v>
      </c>
      <c r="K331" t="s">
        <v>74</v>
      </c>
      <c r="L331" t="s">
        <v>74</v>
      </c>
      <c r="M331" t="s">
        <v>78</v>
      </c>
      <c r="N331" t="s">
        <v>79</v>
      </c>
      <c r="O331" t="s">
        <v>74</v>
      </c>
      <c r="P331" t="s">
        <v>74</v>
      </c>
      <c r="Q331" t="s">
        <v>74</v>
      </c>
      <c r="R331" t="s">
        <v>74</v>
      </c>
      <c r="S331" t="s">
        <v>74</v>
      </c>
      <c r="T331" t="s">
        <v>74</v>
      </c>
      <c r="U331" t="s">
        <v>74</v>
      </c>
      <c r="V331" t="s">
        <v>5534</v>
      </c>
      <c r="W331" t="s">
        <v>74</v>
      </c>
      <c r="X331" t="s">
        <v>74</v>
      </c>
      <c r="Y331" t="s">
        <v>74</v>
      </c>
      <c r="Z331" t="s">
        <v>74</v>
      </c>
      <c r="AA331" t="s">
        <v>74</v>
      </c>
      <c r="AB331" t="s">
        <v>74</v>
      </c>
      <c r="AC331" t="s">
        <v>74</v>
      </c>
      <c r="AD331" t="s">
        <v>74</v>
      </c>
      <c r="AE331" t="s">
        <v>74</v>
      </c>
      <c r="AF331" t="s">
        <v>74</v>
      </c>
      <c r="AG331">
        <v>7</v>
      </c>
      <c r="AH331">
        <v>0</v>
      </c>
      <c r="AI331">
        <v>0</v>
      </c>
      <c r="AJ331">
        <v>0</v>
      </c>
      <c r="AK331">
        <v>0</v>
      </c>
      <c r="AL331" t="s">
        <v>5535</v>
      </c>
      <c r="AM331" t="s">
        <v>363</v>
      </c>
      <c r="AN331" t="s">
        <v>5536</v>
      </c>
      <c r="AO331" t="s">
        <v>5537</v>
      </c>
      <c r="AP331" t="s">
        <v>5538</v>
      </c>
      <c r="AQ331" t="s">
        <v>74</v>
      </c>
      <c r="AR331" t="s">
        <v>5539</v>
      </c>
      <c r="AS331" t="s">
        <v>5540</v>
      </c>
      <c r="AT331" t="s">
        <v>4839</v>
      </c>
      <c r="AU331">
        <v>2007</v>
      </c>
      <c r="AV331">
        <v>19</v>
      </c>
      <c r="AW331">
        <v>1</v>
      </c>
      <c r="AX331" t="s">
        <v>74</v>
      </c>
      <c r="AY331" t="s">
        <v>74</v>
      </c>
      <c r="AZ331" t="s">
        <v>74</v>
      </c>
      <c r="BA331" t="s">
        <v>74</v>
      </c>
      <c r="BB331">
        <v>271</v>
      </c>
      <c r="BC331" t="s">
        <v>5541</v>
      </c>
      <c r="BD331" t="s">
        <v>74</v>
      </c>
      <c r="BE331" t="s">
        <v>5542</v>
      </c>
      <c r="BF331" t="str">
        <f>HYPERLINK("http://dx.doi.org/10.1177/084387140701900114","http://dx.doi.org/10.1177/084387140701900114")</f>
        <v>http://dx.doi.org/10.1177/084387140701900114</v>
      </c>
      <c r="BG331" t="s">
        <v>74</v>
      </c>
      <c r="BH331" t="s">
        <v>74</v>
      </c>
      <c r="BI331">
        <v>16</v>
      </c>
      <c r="BJ331" t="s">
        <v>5543</v>
      </c>
      <c r="BK331" t="s">
        <v>4083</v>
      </c>
      <c r="BL331" t="s">
        <v>5543</v>
      </c>
      <c r="BM331" t="s">
        <v>5544</v>
      </c>
      <c r="BN331" t="s">
        <v>74</v>
      </c>
      <c r="BO331" t="s">
        <v>74</v>
      </c>
      <c r="BP331" t="s">
        <v>74</v>
      </c>
      <c r="BQ331" t="s">
        <v>74</v>
      </c>
      <c r="BR331" t="s">
        <v>101</v>
      </c>
      <c r="BS331" t="s">
        <v>5545</v>
      </c>
      <c r="BT331" t="str">
        <f>HYPERLINK("https%3A%2F%2Fwww.webofscience.com%2Fwos%2Fwoscc%2Ffull-record%2FWOS:000210632900013","View Full Record in Web of Science")</f>
        <v>View Full Record in Web of Science</v>
      </c>
    </row>
    <row r="332" spans="1:72" x14ac:dyDescent="0.15">
      <c r="A332" t="s">
        <v>72</v>
      </c>
      <c r="B332" t="s">
        <v>5546</v>
      </c>
      <c r="C332" t="s">
        <v>74</v>
      </c>
      <c r="D332" t="s">
        <v>74</v>
      </c>
      <c r="E332" t="s">
        <v>74</v>
      </c>
      <c r="F332" t="s">
        <v>5547</v>
      </c>
      <c r="G332" t="s">
        <v>74</v>
      </c>
      <c r="H332" t="s">
        <v>74</v>
      </c>
      <c r="I332" t="s">
        <v>5548</v>
      </c>
      <c r="J332" t="s">
        <v>5533</v>
      </c>
      <c r="K332" t="s">
        <v>74</v>
      </c>
      <c r="L332" t="s">
        <v>74</v>
      </c>
      <c r="M332" t="s">
        <v>78</v>
      </c>
      <c r="N332" t="s">
        <v>5421</v>
      </c>
      <c r="O332" t="s">
        <v>74</v>
      </c>
      <c r="P332" t="s">
        <v>74</v>
      </c>
      <c r="Q332" t="s">
        <v>74</v>
      </c>
      <c r="R332" t="s">
        <v>74</v>
      </c>
      <c r="S332" t="s">
        <v>74</v>
      </c>
      <c r="T332" t="s">
        <v>74</v>
      </c>
      <c r="U332" t="s">
        <v>74</v>
      </c>
      <c r="V332" t="s">
        <v>74</v>
      </c>
      <c r="W332" t="s">
        <v>5549</v>
      </c>
      <c r="X332" t="s">
        <v>3994</v>
      </c>
      <c r="Y332" t="s">
        <v>5550</v>
      </c>
      <c r="Z332" t="s">
        <v>74</v>
      </c>
      <c r="AA332" t="s">
        <v>74</v>
      </c>
      <c r="AB332" t="s">
        <v>74</v>
      </c>
      <c r="AC332" t="s">
        <v>74</v>
      </c>
      <c r="AD332" t="s">
        <v>74</v>
      </c>
      <c r="AE332" t="s">
        <v>74</v>
      </c>
      <c r="AF332" t="s">
        <v>74</v>
      </c>
      <c r="AG332">
        <v>1</v>
      </c>
      <c r="AH332">
        <v>0</v>
      </c>
      <c r="AI332">
        <v>0</v>
      </c>
      <c r="AJ332">
        <v>0</v>
      </c>
      <c r="AK332">
        <v>0</v>
      </c>
      <c r="AL332" t="s">
        <v>5535</v>
      </c>
      <c r="AM332" t="s">
        <v>363</v>
      </c>
      <c r="AN332" t="s">
        <v>5536</v>
      </c>
      <c r="AO332" t="s">
        <v>5537</v>
      </c>
      <c r="AP332" t="s">
        <v>5538</v>
      </c>
      <c r="AQ332" t="s">
        <v>74</v>
      </c>
      <c r="AR332" t="s">
        <v>5539</v>
      </c>
      <c r="AS332" t="s">
        <v>5540</v>
      </c>
      <c r="AT332" t="s">
        <v>4839</v>
      </c>
      <c r="AU332">
        <v>2007</v>
      </c>
      <c r="AV332">
        <v>19</v>
      </c>
      <c r="AW332">
        <v>1</v>
      </c>
      <c r="AX332" t="s">
        <v>74</v>
      </c>
      <c r="AY332" t="s">
        <v>74</v>
      </c>
      <c r="AZ332" t="s">
        <v>74</v>
      </c>
      <c r="BA332" t="s">
        <v>74</v>
      </c>
      <c r="BB332">
        <v>402</v>
      </c>
      <c r="BC332">
        <v>404</v>
      </c>
      <c r="BD332" t="s">
        <v>74</v>
      </c>
      <c r="BE332" t="s">
        <v>5551</v>
      </c>
      <c r="BF332" t="str">
        <f>HYPERLINK("http://dx.doi.org/10.1177/084387140701900155","http://dx.doi.org/10.1177/084387140701900155")</f>
        <v>http://dx.doi.org/10.1177/084387140701900155</v>
      </c>
      <c r="BG332" t="s">
        <v>74</v>
      </c>
      <c r="BH332" t="s">
        <v>74</v>
      </c>
      <c r="BI332">
        <v>4</v>
      </c>
      <c r="BJ332" t="s">
        <v>5543</v>
      </c>
      <c r="BK332" t="s">
        <v>4083</v>
      </c>
      <c r="BL332" t="s">
        <v>5543</v>
      </c>
      <c r="BM332" t="s">
        <v>5544</v>
      </c>
      <c r="BN332" t="s">
        <v>74</v>
      </c>
      <c r="BO332" t="s">
        <v>74</v>
      </c>
      <c r="BP332" t="s">
        <v>74</v>
      </c>
      <c r="BQ332" t="s">
        <v>74</v>
      </c>
      <c r="BR332" t="s">
        <v>101</v>
      </c>
      <c r="BS332" t="s">
        <v>5552</v>
      </c>
      <c r="BT332" t="str">
        <f>HYPERLINK("https%3A%2F%2Fwww.webofscience.com%2Fwos%2Fwoscc%2Ffull-record%2FWOS:000210632900061","View Full Record in Web of Science")</f>
        <v>View Full Record in Web of Science</v>
      </c>
    </row>
    <row r="333" spans="1:72" x14ac:dyDescent="0.15">
      <c r="A333" t="s">
        <v>72</v>
      </c>
      <c r="B333" t="s">
        <v>5553</v>
      </c>
      <c r="C333" t="s">
        <v>74</v>
      </c>
      <c r="D333" t="s">
        <v>74</v>
      </c>
      <c r="E333" t="s">
        <v>74</v>
      </c>
      <c r="F333" t="s">
        <v>5554</v>
      </c>
      <c r="G333" t="s">
        <v>74</v>
      </c>
      <c r="H333" t="s">
        <v>74</v>
      </c>
      <c r="I333" t="s">
        <v>5555</v>
      </c>
      <c r="J333" t="s">
        <v>5556</v>
      </c>
      <c r="K333" t="s">
        <v>74</v>
      </c>
      <c r="L333" t="s">
        <v>74</v>
      </c>
      <c r="M333" t="s">
        <v>78</v>
      </c>
      <c r="N333" t="s">
        <v>79</v>
      </c>
      <c r="O333" t="s">
        <v>74</v>
      </c>
      <c r="P333" t="s">
        <v>74</v>
      </c>
      <c r="Q333" t="s">
        <v>74</v>
      </c>
      <c r="R333" t="s">
        <v>74</v>
      </c>
      <c r="S333" t="s">
        <v>74</v>
      </c>
      <c r="T333" t="s">
        <v>5557</v>
      </c>
      <c r="U333" t="s">
        <v>5558</v>
      </c>
      <c r="V333" t="s">
        <v>5559</v>
      </c>
      <c r="W333" t="s">
        <v>5560</v>
      </c>
      <c r="X333" t="s">
        <v>5561</v>
      </c>
      <c r="Y333" t="s">
        <v>5562</v>
      </c>
      <c r="Z333" t="s">
        <v>5563</v>
      </c>
      <c r="AA333" t="s">
        <v>5564</v>
      </c>
      <c r="AB333" t="s">
        <v>5565</v>
      </c>
      <c r="AC333" t="s">
        <v>74</v>
      </c>
      <c r="AD333" t="s">
        <v>74</v>
      </c>
      <c r="AE333" t="s">
        <v>74</v>
      </c>
      <c r="AF333" t="s">
        <v>74</v>
      </c>
      <c r="AG333">
        <v>67</v>
      </c>
      <c r="AH333">
        <v>194</v>
      </c>
      <c r="AI333">
        <v>231</v>
      </c>
      <c r="AJ333">
        <v>11</v>
      </c>
      <c r="AK333">
        <v>222</v>
      </c>
      <c r="AL333" t="s">
        <v>362</v>
      </c>
      <c r="AM333" t="s">
        <v>363</v>
      </c>
      <c r="AN333" t="s">
        <v>364</v>
      </c>
      <c r="AO333" t="s">
        <v>5566</v>
      </c>
      <c r="AP333" t="s">
        <v>5567</v>
      </c>
      <c r="AQ333" t="s">
        <v>74</v>
      </c>
      <c r="AR333" t="s">
        <v>5568</v>
      </c>
      <c r="AS333" t="s">
        <v>5569</v>
      </c>
      <c r="AT333" t="s">
        <v>4839</v>
      </c>
      <c r="AU333">
        <v>2007</v>
      </c>
      <c r="AV333">
        <v>1</v>
      </c>
      <c r="AW333">
        <v>2</v>
      </c>
      <c r="AX333" t="s">
        <v>74</v>
      </c>
      <c r="AY333" t="s">
        <v>74</v>
      </c>
      <c r="AZ333" t="s">
        <v>74</v>
      </c>
      <c r="BA333" t="s">
        <v>74</v>
      </c>
      <c r="BB333">
        <v>163</v>
      </c>
      <c r="BC333">
        <v>179</v>
      </c>
      <c r="BD333" t="s">
        <v>74</v>
      </c>
      <c r="BE333" t="s">
        <v>5570</v>
      </c>
      <c r="BF333" t="str">
        <f>HYPERLINK("http://dx.doi.org/10.1038/ismej.2007.24","http://dx.doi.org/10.1038/ismej.2007.24")</f>
        <v>http://dx.doi.org/10.1038/ismej.2007.24</v>
      </c>
      <c r="BG333" t="s">
        <v>74</v>
      </c>
      <c r="BH333" t="s">
        <v>74</v>
      </c>
      <c r="BI333">
        <v>17</v>
      </c>
      <c r="BJ333" t="s">
        <v>5571</v>
      </c>
      <c r="BK333" t="s">
        <v>98</v>
      </c>
      <c r="BL333" t="s">
        <v>5572</v>
      </c>
      <c r="BM333" t="s">
        <v>5573</v>
      </c>
      <c r="BN333">
        <v>18043626</v>
      </c>
      <c r="BO333" t="s">
        <v>154</v>
      </c>
      <c r="BP333" t="s">
        <v>74</v>
      </c>
      <c r="BQ333" t="s">
        <v>74</v>
      </c>
      <c r="BR333" t="s">
        <v>101</v>
      </c>
      <c r="BS333" t="s">
        <v>5574</v>
      </c>
      <c r="BT333" t="str">
        <f>HYPERLINK("https%3A%2F%2Fwww.webofscience.com%2Fwos%2Fwoscc%2Ffull-record%2FWOS:000249215900009","View Full Record in Web of Science")</f>
        <v>View Full Record in Web of Science</v>
      </c>
    </row>
    <row r="334" spans="1:72" x14ac:dyDescent="0.15">
      <c r="A334" t="s">
        <v>72</v>
      </c>
      <c r="B334" t="s">
        <v>5575</v>
      </c>
      <c r="C334" t="s">
        <v>74</v>
      </c>
      <c r="D334" t="s">
        <v>74</v>
      </c>
      <c r="E334" t="s">
        <v>74</v>
      </c>
      <c r="F334" t="s">
        <v>5576</v>
      </c>
      <c r="G334" t="s">
        <v>74</v>
      </c>
      <c r="H334" t="s">
        <v>74</v>
      </c>
      <c r="I334" t="s">
        <v>5577</v>
      </c>
      <c r="J334" t="s">
        <v>5578</v>
      </c>
      <c r="K334" t="s">
        <v>74</v>
      </c>
      <c r="L334" t="s">
        <v>74</v>
      </c>
      <c r="M334" t="s">
        <v>78</v>
      </c>
      <c r="N334" t="s">
        <v>79</v>
      </c>
      <c r="O334" t="s">
        <v>74</v>
      </c>
      <c r="P334" t="s">
        <v>74</v>
      </c>
      <c r="Q334" t="s">
        <v>74</v>
      </c>
      <c r="R334" t="s">
        <v>74</v>
      </c>
      <c r="S334" t="s">
        <v>74</v>
      </c>
      <c r="T334" t="s">
        <v>74</v>
      </c>
      <c r="U334" t="s">
        <v>5579</v>
      </c>
      <c r="V334" t="s">
        <v>5580</v>
      </c>
      <c r="W334" t="s">
        <v>5581</v>
      </c>
      <c r="X334" t="s">
        <v>5582</v>
      </c>
      <c r="Y334" t="s">
        <v>5583</v>
      </c>
      <c r="Z334" t="s">
        <v>5584</v>
      </c>
      <c r="AA334" t="s">
        <v>74</v>
      </c>
      <c r="AB334" t="s">
        <v>5585</v>
      </c>
      <c r="AC334" t="s">
        <v>74</v>
      </c>
      <c r="AD334" t="s">
        <v>74</v>
      </c>
      <c r="AE334" t="s">
        <v>74</v>
      </c>
      <c r="AF334" t="s">
        <v>74</v>
      </c>
      <c r="AG334">
        <v>36</v>
      </c>
      <c r="AH334">
        <v>54</v>
      </c>
      <c r="AI334">
        <v>63</v>
      </c>
      <c r="AJ334">
        <v>0</v>
      </c>
      <c r="AK334">
        <v>3</v>
      </c>
      <c r="AL334" t="s">
        <v>5586</v>
      </c>
      <c r="AM334" t="s">
        <v>4833</v>
      </c>
      <c r="AN334" t="s">
        <v>5587</v>
      </c>
      <c r="AO334" t="s">
        <v>74</v>
      </c>
      <c r="AP334" t="s">
        <v>5588</v>
      </c>
      <c r="AQ334" t="s">
        <v>74</v>
      </c>
      <c r="AR334" t="s">
        <v>5589</v>
      </c>
      <c r="AS334" t="s">
        <v>5590</v>
      </c>
      <c r="AT334" t="s">
        <v>5080</v>
      </c>
      <c r="AU334">
        <v>2007</v>
      </c>
      <c r="AV334">
        <v>282</v>
      </c>
      <c r="AW334">
        <v>22</v>
      </c>
      <c r="AX334" t="s">
        <v>74</v>
      </c>
      <c r="AY334" t="s">
        <v>74</v>
      </c>
      <c r="AZ334" t="s">
        <v>74</v>
      </c>
      <c r="BA334" t="s">
        <v>74</v>
      </c>
      <c r="BB334">
        <v>16267</v>
      </c>
      <c r="BC334">
        <v>16277</v>
      </c>
      <c r="BD334" t="s">
        <v>74</v>
      </c>
      <c r="BE334" t="s">
        <v>5591</v>
      </c>
      <c r="BF334" t="str">
        <f>HYPERLINK("http://dx.doi.org/10.1074/jbc.M605588200","http://dx.doi.org/10.1074/jbc.M605588200")</f>
        <v>http://dx.doi.org/10.1074/jbc.M605588200</v>
      </c>
      <c r="BG334" t="s">
        <v>74</v>
      </c>
      <c r="BH334" t="s">
        <v>74</v>
      </c>
      <c r="BI334">
        <v>11</v>
      </c>
      <c r="BJ334" t="s">
        <v>2547</v>
      </c>
      <c r="BK334" t="s">
        <v>98</v>
      </c>
      <c r="BL334" t="s">
        <v>2547</v>
      </c>
      <c r="BM334" t="s">
        <v>5592</v>
      </c>
      <c r="BN334">
        <v>17405875</v>
      </c>
      <c r="BO334" t="s">
        <v>577</v>
      </c>
      <c r="BP334" t="s">
        <v>74</v>
      </c>
      <c r="BQ334" t="s">
        <v>74</v>
      </c>
      <c r="BR334" t="s">
        <v>101</v>
      </c>
      <c r="BS334" t="s">
        <v>5593</v>
      </c>
      <c r="BT334" t="str">
        <f>HYPERLINK("https%3A%2F%2Fwww.webofscience.com%2Fwos%2Fwoscc%2Ffull-record%2FWOS:000246794300034","View Full Record in Web of Science")</f>
        <v>View Full Record in Web of Science</v>
      </c>
    </row>
    <row r="335" spans="1:72" x14ac:dyDescent="0.15">
      <c r="A335" t="s">
        <v>72</v>
      </c>
      <c r="B335" t="s">
        <v>5594</v>
      </c>
      <c r="C335" t="s">
        <v>74</v>
      </c>
      <c r="D335" t="s">
        <v>74</v>
      </c>
      <c r="E335" t="s">
        <v>74</v>
      </c>
      <c r="F335" t="s">
        <v>5595</v>
      </c>
      <c r="G335" t="s">
        <v>74</v>
      </c>
      <c r="H335" t="s">
        <v>74</v>
      </c>
      <c r="I335" t="s">
        <v>5596</v>
      </c>
      <c r="J335" t="s">
        <v>5597</v>
      </c>
      <c r="K335" t="s">
        <v>74</v>
      </c>
      <c r="L335" t="s">
        <v>74</v>
      </c>
      <c r="M335" t="s">
        <v>78</v>
      </c>
      <c r="N335" t="s">
        <v>79</v>
      </c>
      <c r="O335" t="s">
        <v>74</v>
      </c>
      <c r="P335" t="s">
        <v>74</v>
      </c>
      <c r="Q335" t="s">
        <v>74</v>
      </c>
      <c r="R335" t="s">
        <v>74</v>
      </c>
      <c r="S335" t="s">
        <v>74</v>
      </c>
      <c r="T335" t="s">
        <v>5598</v>
      </c>
      <c r="U335" t="s">
        <v>5599</v>
      </c>
      <c r="V335" t="s">
        <v>5600</v>
      </c>
      <c r="W335" t="s">
        <v>5601</v>
      </c>
      <c r="X335" t="s">
        <v>5602</v>
      </c>
      <c r="Y335" t="s">
        <v>5603</v>
      </c>
      <c r="Z335" t="s">
        <v>5604</v>
      </c>
      <c r="AA335" t="s">
        <v>5605</v>
      </c>
      <c r="AB335" t="s">
        <v>5606</v>
      </c>
      <c r="AC335" t="s">
        <v>74</v>
      </c>
      <c r="AD335" t="s">
        <v>74</v>
      </c>
      <c r="AE335" t="s">
        <v>74</v>
      </c>
      <c r="AF335" t="s">
        <v>74</v>
      </c>
      <c r="AG335">
        <v>43</v>
      </c>
      <c r="AH335">
        <v>11</v>
      </c>
      <c r="AI335">
        <v>13</v>
      </c>
      <c r="AJ335">
        <v>4</v>
      </c>
      <c r="AK335">
        <v>37</v>
      </c>
      <c r="AL335" t="s">
        <v>5607</v>
      </c>
      <c r="AM335" t="s">
        <v>5608</v>
      </c>
      <c r="AN335" t="s">
        <v>5609</v>
      </c>
      <c r="AO335" t="s">
        <v>5610</v>
      </c>
      <c r="AP335" t="s">
        <v>74</v>
      </c>
      <c r="AQ335" t="s">
        <v>74</v>
      </c>
      <c r="AR335" t="s">
        <v>5611</v>
      </c>
      <c r="AS335" t="s">
        <v>5612</v>
      </c>
      <c r="AT335" t="s">
        <v>4839</v>
      </c>
      <c r="AU335">
        <v>2007</v>
      </c>
      <c r="AV335">
        <v>18</v>
      </c>
      <c r="AW335">
        <v>2</v>
      </c>
      <c r="AX335" t="s">
        <v>74</v>
      </c>
      <c r="AY335" t="s">
        <v>74</v>
      </c>
      <c r="AZ335" t="s">
        <v>74</v>
      </c>
      <c r="BA335" t="s">
        <v>74</v>
      </c>
      <c r="BB335">
        <v>95</v>
      </c>
      <c r="BC335">
        <v>108</v>
      </c>
      <c r="BD335" t="s">
        <v>74</v>
      </c>
      <c r="BE335" t="s">
        <v>74</v>
      </c>
      <c r="BF335" t="s">
        <v>74</v>
      </c>
      <c r="BG335" t="s">
        <v>74</v>
      </c>
      <c r="BH335" t="s">
        <v>74</v>
      </c>
      <c r="BI335">
        <v>14</v>
      </c>
      <c r="BJ335" t="s">
        <v>5613</v>
      </c>
      <c r="BK335" t="s">
        <v>98</v>
      </c>
      <c r="BL335" t="s">
        <v>152</v>
      </c>
      <c r="BM335" t="s">
        <v>5614</v>
      </c>
      <c r="BN335" t="s">
        <v>74</v>
      </c>
      <c r="BO335" t="s">
        <v>74</v>
      </c>
      <c r="BP335" t="s">
        <v>74</v>
      </c>
      <c r="BQ335" t="s">
        <v>74</v>
      </c>
      <c r="BR335" t="s">
        <v>101</v>
      </c>
      <c r="BS335" t="s">
        <v>5615</v>
      </c>
      <c r="BT335" t="str">
        <f>HYPERLINK("https%3A%2F%2Fwww.webofscience.com%2Fwos%2Fwoscc%2Ffull-record%2FWOS:000247893500001","View Full Record in Web of Science")</f>
        <v>View Full Record in Web of Science</v>
      </c>
    </row>
    <row r="336" spans="1:72" x14ac:dyDescent="0.15">
      <c r="A336" t="s">
        <v>72</v>
      </c>
      <c r="B336" t="s">
        <v>5616</v>
      </c>
      <c r="C336" t="s">
        <v>74</v>
      </c>
      <c r="D336" t="s">
        <v>74</v>
      </c>
      <c r="E336" t="s">
        <v>74</v>
      </c>
      <c r="F336" t="s">
        <v>5617</v>
      </c>
      <c r="G336" t="s">
        <v>74</v>
      </c>
      <c r="H336" t="s">
        <v>74</v>
      </c>
      <c r="I336" t="s">
        <v>5618</v>
      </c>
      <c r="J336" t="s">
        <v>558</v>
      </c>
      <c r="K336" t="s">
        <v>74</v>
      </c>
      <c r="L336" t="s">
        <v>74</v>
      </c>
      <c r="M336" t="s">
        <v>78</v>
      </c>
      <c r="N336" t="s">
        <v>79</v>
      </c>
      <c r="O336" t="s">
        <v>74</v>
      </c>
      <c r="P336" t="s">
        <v>74</v>
      </c>
      <c r="Q336" t="s">
        <v>74</v>
      </c>
      <c r="R336" t="s">
        <v>74</v>
      </c>
      <c r="S336" t="s">
        <v>74</v>
      </c>
      <c r="T336" t="s">
        <v>74</v>
      </c>
      <c r="U336" t="s">
        <v>5619</v>
      </c>
      <c r="V336" t="s">
        <v>5620</v>
      </c>
      <c r="W336" t="s">
        <v>5621</v>
      </c>
      <c r="X336" t="s">
        <v>5622</v>
      </c>
      <c r="Y336" t="s">
        <v>5623</v>
      </c>
      <c r="Z336" t="s">
        <v>5624</v>
      </c>
      <c r="AA336" t="s">
        <v>5625</v>
      </c>
      <c r="AB336" t="s">
        <v>5626</v>
      </c>
      <c r="AC336" t="s">
        <v>74</v>
      </c>
      <c r="AD336" t="s">
        <v>74</v>
      </c>
      <c r="AE336" t="s">
        <v>74</v>
      </c>
      <c r="AF336" t="s">
        <v>74</v>
      </c>
      <c r="AG336">
        <v>41</v>
      </c>
      <c r="AH336">
        <v>449</v>
      </c>
      <c r="AI336">
        <v>475</v>
      </c>
      <c r="AJ336">
        <v>3</v>
      </c>
      <c r="AK336">
        <v>61</v>
      </c>
      <c r="AL336" t="s">
        <v>567</v>
      </c>
      <c r="AM336" t="s">
        <v>568</v>
      </c>
      <c r="AN336" t="s">
        <v>569</v>
      </c>
      <c r="AO336" t="s">
        <v>570</v>
      </c>
      <c r="AP336" t="s">
        <v>571</v>
      </c>
      <c r="AQ336" t="s">
        <v>74</v>
      </c>
      <c r="AR336" t="s">
        <v>572</v>
      </c>
      <c r="AS336" t="s">
        <v>573</v>
      </c>
      <c r="AT336" t="s">
        <v>5080</v>
      </c>
      <c r="AU336">
        <v>2007</v>
      </c>
      <c r="AV336">
        <v>20</v>
      </c>
      <c r="AW336">
        <v>11</v>
      </c>
      <c r="AX336" t="s">
        <v>74</v>
      </c>
      <c r="AY336" t="s">
        <v>74</v>
      </c>
      <c r="AZ336" t="s">
        <v>74</v>
      </c>
      <c r="BA336" t="s">
        <v>74</v>
      </c>
      <c r="BB336">
        <v>2452</v>
      </c>
      <c r="BC336">
        <v>2467</v>
      </c>
      <c r="BD336" t="s">
        <v>74</v>
      </c>
      <c r="BE336" t="s">
        <v>5627</v>
      </c>
      <c r="BF336" t="str">
        <f>HYPERLINK("http://dx.doi.org/10.1175/JCLI4134.1","http://dx.doi.org/10.1175/JCLI4134.1")</f>
        <v>http://dx.doi.org/10.1175/JCLI4134.1</v>
      </c>
      <c r="BG336" t="s">
        <v>74</v>
      </c>
      <c r="BH336" t="s">
        <v>74</v>
      </c>
      <c r="BI336">
        <v>16</v>
      </c>
      <c r="BJ336" t="s">
        <v>435</v>
      </c>
      <c r="BK336" t="s">
        <v>98</v>
      </c>
      <c r="BL336" t="s">
        <v>435</v>
      </c>
      <c r="BM336" t="s">
        <v>5628</v>
      </c>
      <c r="BN336" t="s">
        <v>74</v>
      </c>
      <c r="BO336" t="s">
        <v>577</v>
      </c>
      <c r="BP336" t="s">
        <v>74</v>
      </c>
      <c r="BQ336" t="s">
        <v>74</v>
      </c>
      <c r="BR336" t="s">
        <v>101</v>
      </c>
      <c r="BS336" t="s">
        <v>5629</v>
      </c>
      <c r="BT336" t="str">
        <f>HYPERLINK("https%3A%2F%2Fwww.webofscience.com%2Fwos%2Fwoscc%2Ffull-record%2FWOS:000247159300007","View Full Record in Web of Science")</f>
        <v>View Full Record in Web of Science</v>
      </c>
    </row>
    <row r="337" spans="1:72" x14ac:dyDescent="0.15">
      <c r="A337" t="s">
        <v>72</v>
      </c>
      <c r="B337" t="s">
        <v>5630</v>
      </c>
      <c r="C337" t="s">
        <v>74</v>
      </c>
      <c r="D337" t="s">
        <v>74</v>
      </c>
      <c r="E337" t="s">
        <v>74</v>
      </c>
      <c r="F337" t="s">
        <v>5631</v>
      </c>
      <c r="G337" t="s">
        <v>74</v>
      </c>
      <c r="H337" t="s">
        <v>74</v>
      </c>
      <c r="I337" t="s">
        <v>5632</v>
      </c>
      <c r="J337" t="s">
        <v>558</v>
      </c>
      <c r="K337" t="s">
        <v>74</v>
      </c>
      <c r="L337" t="s">
        <v>74</v>
      </c>
      <c r="M337" t="s">
        <v>78</v>
      </c>
      <c r="N337" t="s">
        <v>79</v>
      </c>
      <c r="O337" t="s">
        <v>74</v>
      </c>
      <c r="P337" t="s">
        <v>74</v>
      </c>
      <c r="Q337" t="s">
        <v>74</v>
      </c>
      <c r="R337" t="s">
        <v>74</v>
      </c>
      <c r="S337" t="s">
        <v>74</v>
      </c>
      <c r="T337" t="s">
        <v>74</v>
      </c>
      <c r="U337" t="s">
        <v>5633</v>
      </c>
      <c r="V337" t="s">
        <v>5634</v>
      </c>
      <c r="W337" t="s">
        <v>5635</v>
      </c>
      <c r="X337" t="s">
        <v>4489</v>
      </c>
      <c r="Y337" t="s">
        <v>5636</v>
      </c>
      <c r="Z337" t="s">
        <v>5637</v>
      </c>
      <c r="AA337" t="s">
        <v>74</v>
      </c>
      <c r="AB337" t="s">
        <v>74</v>
      </c>
      <c r="AC337" t="s">
        <v>74</v>
      </c>
      <c r="AD337" t="s">
        <v>74</v>
      </c>
      <c r="AE337" t="s">
        <v>74</v>
      </c>
      <c r="AF337" t="s">
        <v>74</v>
      </c>
      <c r="AG337">
        <v>34</v>
      </c>
      <c r="AH337">
        <v>154</v>
      </c>
      <c r="AI337">
        <v>178</v>
      </c>
      <c r="AJ337">
        <v>4</v>
      </c>
      <c r="AK337">
        <v>42</v>
      </c>
      <c r="AL337" t="s">
        <v>567</v>
      </c>
      <c r="AM337" t="s">
        <v>568</v>
      </c>
      <c r="AN337" t="s">
        <v>569</v>
      </c>
      <c r="AO337" t="s">
        <v>570</v>
      </c>
      <c r="AP337" t="s">
        <v>571</v>
      </c>
      <c r="AQ337" t="s">
        <v>74</v>
      </c>
      <c r="AR337" t="s">
        <v>572</v>
      </c>
      <c r="AS337" t="s">
        <v>573</v>
      </c>
      <c r="AT337" t="s">
        <v>5080</v>
      </c>
      <c r="AU337">
        <v>2007</v>
      </c>
      <c r="AV337">
        <v>20</v>
      </c>
      <c r="AW337">
        <v>11</v>
      </c>
      <c r="AX337" t="s">
        <v>74</v>
      </c>
      <c r="AY337" t="s">
        <v>74</v>
      </c>
      <c r="AZ337" t="s">
        <v>74</v>
      </c>
      <c r="BA337" t="s">
        <v>74</v>
      </c>
      <c r="BB337">
        <v>2515</v>
      </c>
      <c r="BC337">
        <v>2529</v>
      </c>
      <c r="BD337" t="s">
        <v>74</v>
      </c>
      <c r="BE337" t="s">
        <v>5638</v>
      </c>
      <c r="BF337" t="str">
        <f>HYPERLINK("http://dx.doi.org/10.1175/JCLI4136.1","http://dx.doi.org/10.1175/JCLI4136.1")</f>
        <v>http://dx.doi.org/10.1175/JCLI4136.1</v>
      </c>
      <c r="BG337" t="s">
        <v>74</v>
      </c>
      <c r="BH337" t="s">
        <v>74</v>
      </c>
      <c r="BI337">
        <v>15</v>
      </c>
      <c r="BJ337" t="s">
        <v>435</v>
      </c>
      <c r="BK337" t="s">
        <v>98</v>
      </c>
      <c r="BL337" t="s">
        <v>435</v>
      </c>
      <c r="BM337" t="s">
        <v>5628</v>
      </c>
      <c r="BN337" t="s">
        <v>74</v>
      </c>
      <c r="BO337" t="s">
        <v>797</v>
      </c>
      <c r="BP337" t="s">
        <v>74</v>
      </c>
      <c r="BQ337" t="s">
        <v>74</v>
      </c>
      <c r="BR337" t="s">
        <v>101</v>
      </c>
      <c r="BS337" t="s">
        <v>5639</v>
      </c>
      <c r="BT337" t="str">
        <f>HYPERLINK("https%3A%2F%2Fwww.webofscience.com%2Fwos%2Fwoscc%2Ffull-record%2FWOS:000247159300011","View Full Record in Web of Science")</f>
        <v>View Full Record in Web of Science</v>
      </c>
    </row>
    <row r="338" spans="1:72" x14ac:dyDescent="0.15">
      <c r="A338" t="s">
        <v>72</v>
      </c>
      <c r="B338" t="s">
        <v>5640</v>
      </c>
      <c r="C338" t="s">
        <v>74</v>
      </c>
      <c r="D338" t="s">
        <v>74</v>
      </c>
      <c r="E338" t="s">
        <v>74</v>
      </c>
      <c r="F338" t="s">
        <v>5641</v>
      </c>
      <c r="G338" t="s">
        <v>74</v>
      </c>
      <c r="H338" t="s">
        <v>74</v>
      </c>
      <c r="I338" t="s">
        <v>5642</v>
      </c>
      <c r="J338" t="s">
        <v>558</v>
      </c>
      <c r="K338" t="s">
        <v>74</v>
      </c>
      <c r="L338" t="s">
        <v>74</v>
      </c>
      <c r="M338" t="s">
        <v>78</v>
      </c>
      <c r="N338" t="s">
        <v>79</v>
      </c>
      <c r="O338" t="s">
        <v>74</v>
      </c>
      <c r="P338" t="s">
        <v>74</v>
      </c>
      <c r="Q338" t="s">
        <v>74</v>
      </c>
      <c r="R338" t="s">
        <v>74</v>
      </c>
      <c r="S338" t="s">
        <v>74</v>
      </c>
      <c r="T338" t="s">
        <v>74</v>
      </c>
      <c r="U338" t="s">
        <v>5643</v>
      </c>
      <c r="V338" t="s">
        <v>5644</v>
      </c>
      <c r="W338" t="s">
        <v>5645</v>
      </c>
      <c r="X338" t="s">
        <v>5646</v>
      </c>
      <c r="Y338" t="s">
        <v>5647</v>
      </c>
      <c r="Z338" t="s">
        <v>5648</v>
      </c>
      <c r="AA338" t="s">
        <v>5649</v>
      </c>
      <c r="AB338" t="s">
        <v>5650</v>
      </c>
      <c r="AC338" t="s">
        <v>74</v>
      </c>
      <c r="AD338" t="s">
        <v>74</v>
      </c>
      <c r="AE338" t="s">
        <v>74</v>
      </c>
      <c r="AF338" t="s">
        <v>74</v>
      </c>
      <c r="AG338">
        <v>52</v>
      </c>
      <c r="AH338">
        <v>83</v>
      </c>
      <c r="AI338">
        <v>94</v>
      </c>
      <c r="AJ338">
        <v>0</v>
      </c>
      <c r="AK338">
        <v>23</v>
      </c>
      <c r="AL338" t="s">
        <v>567</v>
      </c>
      <c r="AM338" t="s">
        <v>568</v>
      </c>
      <c r="AN338" t="s">
        <v>569</v>
      </c>
      <c r="AO338" t="s">
        <v>570</v>
      </c>
      <c r="AP338" t="s">
        <v>571</v>
      </c>
      <c r="AQ338" t="s">
        <v>74</v>
      </c>
      <c r="AR338" t="s">
        <v>572</v>
      </c>
      <c r="AS338" t="s">
        <v>573</v>
      </c>
      <c r="AT338" t="s">
        <v>5080</v>
      </c>
      <c r="AU338">
        <v>2007</v>
      </c>
      <c r="AV338">
        <v>20</v>
      </c>
      <c r="AW338">
        <v>11</v>
      </c>
      <c r="AX338" t="s">
        <v>74</v>
      </c>
      <c r="AY338" t="s">
        <v>74</v>
      </c>
      <c r="AZ338" t="s">
        <v>74</v>
      </c>
      <c r="BA338" t="s">
        <v>74</v>
      </c>
      <c r="BB338">
        <v>2558</v>
      </c>
      <c r="BC338">
        <v>2571</v>
      </c>
      <c r="BD338" t="s">
        <v>74</v>
      </c>
      <c r="BE338" t="s">
        <v>5651</v>
      </c>
      <c r="BF338" t="str">
        <f>HYPERLINK("http://dx.doi.org/10.1175/JCLI4046.1","http://dx.doi.org/10.1175/JCLI4046.1")</f>
        <v>http://dx.doi.org/10.1175/JCLI4046.1</v>
      </c>
      <c r="BG338" t="s">
        <v>74</v>
      </c>
      <c r="BH338" t="s">
        <v>74</v>
      </c>
      <c r="BI338">
        <v>14</v>
      </c>
      <c r="BJ338" t="s">
        <v>435</v>
      </c>
      <c r="BK338" t="s">
        <v>98</v>
      </c>
      <c r="BL338" t="s">
        <v>435</v>
      </c>
      <c r="BM338" t="s">
        <v>5628</v>
      </c>
      <c r="BN338" t="s">
        <v>74</v>
      </c>
      <c r="BO338" t="s">
        <v>177</v>
      </c>
      <c r="BP338" t="s">
        <v>74</v>
      </c>
      <c r="BQ338" t="s">
        <v>74</v>
      </c>
      <c r="BR338" t="s">
        <v>101</v>
      </c>
      <c r="BS338" t="s">
        <v>5652</v>
      </c>
      <c r="BT338" t="str">
        <f>HYPERLINK("https%3A%2F%2Fwww.webofscience.com%2Fwos%2Fwoscc%2Ffull-record%2FWOS:000247159300014","View Full Record in Web of Science")</f>
        <v>View Full Record in Web of Science</v>
      </c>
    </row>
    <row r="339" spans="1:72" x14ac:dyDescent="0.15">
      <c r="A339" t="s">
        <v>72</v>
      </c>
      <c r="B339" t="s">
        <v>5653</v>
      </c>
      <c r="C339" t="s">
        <v>74</v>
      </c>
      <c r="D339" t="s">
        <v>74</v>
      </c>
      <c r="E339" t="s">
        <v>74</v>
      </c>
      <c r="F339" t="s">
        <v>5654</v>
      </c>
      <c r="G339" t="s">
        <v>74</v>
      </c>
      <c r="H339" t="s">
        <v>74</v>
      </c>
      <c r="I339" t="s">
        <v>5655</v>
      </c>
      <c r="J339" t="s">
        <v>558</v>
      </c>
      <c r="K339" t="s">
        <v>74</v>
      </c>
      <c r="L339" t="s">
        <v>74</v>
      </c>
      <c r="M339" t="s">
        <v>78</v>
      </c>
      <c r="N339" t="s">
        <v>79</v>
      </c>
      <c r="O339" t="s">
        <v>74</v>
      </c>
      <c r="P339" t="s">
        <v>74</v>
      </c>
      <c r="Q339" t="s">
        <v>74</v>
      </c>
      <c r="R339" t="s">
        <v>74</v>
      </c>
      <c r="S339" t="s">
        <v>74</v>
      </c>
      <c r="T339" t="s">
        <v>74</v>
      </c>
      <c r="U339" t="s">
        <v>5656</v>
      </c>
      <c r="V339" t="s">
        <v>5657</v>
      </c>
      <c r="W339" t="s">
        <v>5658</v>
      </c>
      <c r="X339" t="s">
        <v>5659</v>
      </c>
      <c r="Y339" t="s">
        <v>5660</v>
      </c>
      <c r="Z339" t="s">
        <v>5661</v>
      </c>
      <c r="AA339" t="s">
        <v>5662</v>
      </c>
      <c r="AB339" t="s">
        <v>5663</v>
      </c>
      <c r="AC339" t="s">
        <v>74</v>
      </c>
      <c r="AD339" t="s">
        <v>74</v>
      </c>
      <c r="AE339" t="s">
        <v>74</v>
      </c>
      <c r="AF339" t="s">
        <v>74</v>
      </c>
      <c r="AG339">
        <v>77</v>
      </c>
      <c r="AH339">
        <v>133</v>
      </c>
      <c r="AI339">
        <v>143</v>
      </c>
      <c r="AJ339">
        <v>0</v>
      </c>
      <c r="AK339">
        <v>25</v>
      </c>
      <c r="AL339" t="s">
        <v>567</v>
      </c>
      <c r="AM339" t="s">
        <v>568</v>
      </c>
      <c r="AN339" t="s">
        <v>569</v>
      </c>
      <c r="AO339" t="s">
        <v>570</v>
      </c>
      <c r="AP339" t="s">
        <v>571</v>
      </c>
      <c r="AQ339" t="s">
        <v>74</v>
      </c>
      <c r="AR339" t="s">
        <v>572</v>
      </c>
      <c r="AS339" t="s">
        <v>573</v>
      </c>
      <c r="AT339" t="s">
        <v>4839</v>
      </c>
      <c r="AU339">
        <v>2007</v>
      </c>
      <c r="AV339">
        <v>20</v>
      </c>
      <c r="AW339">
        <v>12</v>
      </c>
      <c r="AX339" t="s">
        <v>74</v>
      </c>
      <c r="AY339" t="s">
        <v>74</v>
      </c>
      <c r="AZ339" t="s">
        <v>74</v>
      </c>
      <c r="BA339" t="s">
        <v>74</v>
      </c>
      <c r="BB339">
        <v>2721</v>
      </c>
      <c r="BC339">
        <v>2744</v>
      </c>
      <c r="BD339" t="s">
        <v>74</v>
      </c>
      <c r="BE339" t="s">
        <v>5664</v>
      </c>
      <c r="BF339" t="str">
        <f>HYPERLINK("http://dx.doi.org/10.1175/JCLI4177.1","http://dx.doi.org/10.1175/JCLI4177.1")</f>
        <v>http://dx.doi.org/10.1175/JCLI4177.1</v>
      </c>
      <c r="BG339" t="s">
        <v>74</v>
      </c>
      <c r="BH339" t="s">
        <v>74</v>
      </c>
      <c r="BI339">
        <v>24</v>
      </c>
      <c r="BJ339" t="s">
        <v>435</v>
      </c>
      <c r="BK339" t="s">
        <v>98</v>
      </c>
      <c r="BL339" t="s">
        <v>435</v>
      </c>
      <c r="BM339" t="s">
        <v>5665</v>
      </c>
      <c r="BN339" t="s">
        <v>74</v>
      </c>
      <c r="BO339" t="s">
        <v>154</v>
      </c>
      <c r="BP339" t="s">
        <v>74</v>
      </c>
      <c r="BQ339" t="s">
        <v>74</v>
      </c>
      <c r="BR339" t="s">
        <v>101</v>
      </c>
      <c r="BS339" t="s">
        <v>5666</v>
      </c>
      <c r="BT339" t="str">
        <f>HYPERLINK("https%3A%2F%2Fwww.webofscience.com%2Fwos%2Fwoscc%2Ffull-record%2FWOS:000247363100001","View Full Record in Web of Science")</f>
        <v>View Full Record in Web of Science</v>
      </c>
    </row>
    <row r="340" spans="1:72" x14ac:dyDescent="0.15">
      <c r="A340" t="s">
        <v>72</v>
      </c>
      <c r="B340" t="s">
        <v>5667</v>
      </c>
      <c r="C340" t="s">
        <v>74</v>
      </c>
      <c r="D340" t="s">
        <v>74</v>
      </c>
      <c r="E340" t="s">
        <v>74</v>
      </c>
      <c r="F340" t="s">
        <v>5668</v>
      </c>
      <c r="G340" t="s">
        <v>74</v>
      </c>
      <c r="H340" t="s">
        <v>74</v>
      </c>
      <c r="I340" t="s">
        <v>5669</v>
      </c>
      <c r="J340" t="s">
        <v>5670</v>
      </c>
      <c r="K340" t="s">
        <v>74</v>
      </c>
      <c r="L340" t="s">
        <v>74</v>
      </c>
      <c r="M340" t="s">
        <v>78</v>
      </c>
      <c r="N340" t="s">
        <v>79</v>
      </c>
      <c r="O340" t="s">
        <v>74</v>
      </c>
      <c r="P340" t="s">
        <v>74</v>
      </c>
      <c r="Q340" t="s">
        <v>74</v>
      </c>
      <c r="R340" t="s">
        <v>74</v>
      </c>
      <c r="S340" t="s">
        <v>74</v>
      </c>
      <c r="T340" t="s">
        <v>74</v>
      </c>
      <c r="U340" t="s">
        <v>5671</v>
      </c>
      <c r="V340" t="s">
        <v>5672</v>
      </c>
      <c r="W340" t="s">
        <v>5673</v>
      </c>
      <c r="X340" t="s">
        <v>5674</v>
      </c>
      <c r="Y340" t="s">
        <v>5675</v>
      </c>
      <c r="Z340" t="s">
        <v>5676</v>
      </c>
      <c r="AA340" t="s">
        <v>74</v>
      </c>
      <c r="AB340" t="s">
        <v>74</v>
      </c>
      <c r="AC340" t="s">
        <v>74</v>
      </c>
      <c r="AD340" t="s">
        <v>74</v>
      </c>
      <c r="AE340" t="s">
        <v>74</v>
      </c>
      <c r="AF340" t="s">
        <v>74</v>
      </c>
      <c r="AG340">
        <v>23</v>
      </c>
      <c r="AH340">
        <v>20</v>
      </c>
      <c r="AI340">
        <v>20</v>
      </c>
      <c r="AJ340">
        <v>1</v>
      </c>
      <c r="AK340">
        <v>10</v>
      </c>
      <c r="AL340" t="s">
        <v>1202</v>
      </c>
      <c r="AM340" t="s">
        <v>1203</v>
      </c>
      <c r="AN340" t="s">
        <v>1204</v>
      </c>
      <c r="AO340" t="s">
        <v>5677</v>
      </c>
      <c r="AP340" t="s">
        <v>5678</v>
      </c>
      <c r="AQ340" t="s">
        <v>74</v>
      </c>
      <c r="AR340" t="s">
        <v>5679</v>
      </c>
      <c r="AS340" t="s">
        <v>5680</v>
      </c>
      <c r="AT340" t="s">
        <v>4839</v>
      </c>
      <c r="AU340">
        <v>2007</v>
      </c>
      <c r="AV340">
        <v>24</v>
      </c>
      <c r="AW340">
        <v>6</v>
      </c>
      <c r="AX340" t="s">
        <v>74</v>
      </c>
      <c r="AY340" t="s">
        <v>74</v>
      </c>
      <c r="AZ340" t="s">
        <v>74</v>
      </c>
      <c r="BA340" t="s">
        <v>74</v>
      </c>
      <c r="BB340">
        <v>461</v>
      </c>
      <c r="BC340">
        <v>471</v>
      </c>
      <c r="BD340" t="s">
        <v>74</v>
      </c>
      <c r="BE340" t="s">
        <v>5681</v>
      </c>
      <c r="BF340" t="str">
        <f>HYPERLINK("http://dx.doi.org/10.1002/rob.20176","http://dx.doi.org/10.1002/rob.20176")</f>
        <v>http://dx.doi.org/10.1002/rob.20176</v>
      </c>
      <c r="BG340" t="s">
        <v>74</v>
      </c>
      <c r="BH340" t="s">
        <v>74</v>
      </c>
      <c r="BI340">
        <v>11</v>
      </c>
      <c r="BJ340" t="s">
        <v>5682</v>
      </c>
      <c r="BK340" t="s">
        <v>98</v>
      </c>
      <c r="BL340" t="s">
        <v>5682</v>
      </c>
      <c r="BM340" t="s">
        <v>5683</v>
      </c>
      <c r="BN340" t="s">
        <v>74</v>
      </c>
      <c r="BO340" t="s">
        <v>74</v>
      </c>
      <c r="BP340" t="s">
        <v>74</v>
      </c>
      <c r="BQ340" t="s">
        <v>74</v>
      </c>
      <c r="BR340" t="s">
        <v>101</v>
      </c>
      <c r="BS340" t="s">
        <v>5684</v>
      </c>
      <c r="BT340" t="str">
        <f>HYPERLINK("https%3A%2F%2Fwww.webofscience.com%2Fwos%2Fwoscc%2Ffull-record%2FWOS:000248167300004","View Full Record in Web of Science")</f>
        <v>View Full Record in Web of Science</v>
      </c>
    </row>
    <row r="341" spans="1:72" x14ac:dyDescent="0.15">
      <c r="A341" t="s">
        <v>72</v>
      </c>
      <c r="B341" t="s">
        <v>5685</v>
      </c>
      <c r="C341" t="s">
        <v>74</v>
      </c>
      <c r="D341" t="s">
        <v>74</v>
      </c>
      <c r="E341" t="s">
        <v>74</v>
      </c>
      <c r="F341" t="s">
        <v>5686</v>
      </c>
      <c r="G341" t="s">
        <v>74</v>
      </c>
      <c r="H341" t="s">
        <v>74</v>
      </c>
      <c r="I341" t="s">
        <v>5687</v>
      </c>
      <c r="J341" t="s">
        <v>5688</v>
      </c>
      <c r="K341" t="s">
        <v>74</v>
      </c>
      <c r="L341" t="s">
        <v>74</v>
      </c>
      <c r="M341" t="s">
        <v>78</v>
      </c>
      <c r="N341" t="s">
        <v>79</v>
      </c>
      <c r="O341" t="s">
        <v>74</v>
      </c>
      <c r="P341" t="s">
        <v>74</v>
      </c>
      <c r="Q341" t="s">
        <v>74</v>
      </c>
      <c r="R341" t="s">
        <v>74</v>
      </c>
      <c r="S341" t="s">
        <v>74</v>
      </c>
      <c r="T341" t="s">
        <v>5689</v>
      </c>
      <c r="U341" t="s">
        <v>5690</v>
      </c>
      <c r="V341" t="s">
        <v>5691</v>
      </c>
      <c r="W341" t="s">
        <v>5692</v>
      </c>
      <c r="X341" t="s">
        <v>5693</v>
      </c>
      <c r="Y341" t="s">
        <v>5694</v>
      </c>
      <c r="Z341" t="s">
        <v>5695</v>
      </c>
      <c r="AA341" t="s">
        <v>5696</v>
      </c>
      <c r="AB341" t="s">
        <v>5697</v>
      </c>
      <c r="AC341" t="s">
        <v>74</v>
      </c>
      <c r="AD341" t="s">
        <v>74</v>
      </c>
      <c r="AE341" t="s">
        <v>74</v>
      </c>
      <c r="AF341" t="s">
        <v>74</v>
      </c>
      <c r="AG341">
        <v>56</v>
      </c>
      <c r="AH341">
        <v>21</v>
      </c>
      <c r="AI341">
        <v>22</v>
      </c>
      <c r="AJ341">
        <v>0</v>
      </c>
      <c r="AK341">
        <v>25</v>
      </c>
      <c r="AL341" t="s">
        <v>5698</v>
      </c>
      <c r="AM341" t="s">
        <v>3921</v>
      </c>
      <c r="AN341" t="s">
        <v>5699</v>
      </c>
      <c r="AO341" t="s">
        <v>5700</v>
      </c>
      <c r="AP341" t="s">
        <v>74</v>
      </c>
      <c r="AQ341" t="s">
        <v>74</v>
      </c>
      <c r="AR341" t="s">
        <v>5701</v>
      </c>
      <c r="AS341" t="s">
        <v>5702</v>
      </c>
      <c r="AT341" t="s">
        <v>4839</v>
      </c>
      <c r="AU341">
        <v>2007</v>
      </c>
      <c r="AV341">
        <v>88</v>
      </c>
      <c r="AW341">
        <v>3</v>
      </c>
      <c r="AX341" t="s">
        <v>74</v>
      </c>
      <c r="AY341" t="s">
        <v>74</v>
      </c>
      <c r="AZ341" t="s">
        <v>74</v>
      </c>
      <c r="BA341" t="s">
        <v>74</v>
      </c>
      <c r="BB341">
        <v>639</v>
      </c>
      <c r="BC341">
        <v>648</v>
      </c>
      <c r="BD341" t="s">
        <v>74</v>
      </c>
      <c r="BE341" t="s">
        <v>5703</v>
      </c>
      <c r="BF341" t="str">
        <f>HYPERLINK("http://dx.doi.org/10.1644/06-MAMM-A-150R1.1","http://dx.doi.org/10.1644/06-MAMM-A-150R1.1")</f>
        <v>http://dx.doi.org/10.1644/06-MAMM-A-150R1.1</v>
      </c>
      <c r="BG341" t="s">
        <v>74</v>
      </c>
      <c r="BH341" t="s">
        <v>74</v>
      </c>
      <c r="BI341">
        <v>10</v>
      </c>
      <c r="BJ341" t="s">
        <v>507</v>
      </c>
      <c r="BK341" t="s">
        <v>98</v>
      </c>
      <c r="BL341" t="s">
        <v>507</v>
      </c>
      <c r="BM341" t="s">
        <v>5704</v>
      </c>
      <c r="BN341" t="s">
        <v>74</v>
      </c>
      <c r="BO341" t="s">
        <v>154</v>
      </c>
      <c r="BP341" t="s">
        <v>74</v>
      </c>
      <c r="BQ341" t="s">
        <v>74</v>
      </c>
      <c r="BR341" t="s">
        <v>101</v>
      </c>
      <c r="BS341" t="s">
        <v>5705</v>
      </c>
      <c r="BT341" t="str">
        <f>HYPERLINK("https%3A%2F%2Fwww.webofscience.com%2Fwos%2Fwoscc%2Ffull-record%2FWOS:000247110100012","View Full Record in Web of Science")</f>
        <v>View Full Record in Web of Science</v>
      </c>
    </row>
    <row r="342" spans="1:72" x14ac:dyDescent="0.15">
      <c r="A342" t="s">
        <v>72</v>
      </c>
      <c r="B342" t="s">
        <v>5706</v>
      </c>
      <c r="C342" t="s">
        <v>74</v>
      </c>
      <c r="D342" t="s">
        <v>74</v>
      </c>
      <c r="E342" t="s">
        <v>74</v>
      </c>
      <c r="F342" t="s">
        <v>5707</v>
      </c>
      <c r="G342" t="s">
        <v>74</v>
      </c>
      <c r="H342" t="s">
        <v>74</v>
      </c>
      <c r="I342" t="s">
        <v>5708</v>
      </c>
      <c r="J342" t="s">
        <v>5709</v>
      </c>
      <c r="K342" t="s">
        <v>74</v>
      </c>
      <c r="L342" t="s">
        <v>74</v>
      </c>
      <c r="M342" t="s">
        <v>78</v>
      </c>
      <c r="N342" t="s">
        <v>514</v>
      </c>
      <c r="O342" t="s">
        <v>5710</v>
      </c>
      <c r="P342" t="s">
        <v>5711</v>
      </c>
      <c r="Q342" t="s">
        <v>5712</v>
      </c>
      <c r="R342" t="s">
        <v>74</v>
      </c>
      <c r="S342" t="s">
        <v>5713</v>
      </c>
      <c r="T342" t="s">
        <v>5714</v>
      </c>
      <c r="U342" t="s">
        <v>5715</v>
      </c>
      <c r="V342" t="s">
        <v>5716</v>
      </c>
      <c r="W342" t="s">
        <v>5717</v>
      </c>
      <c r="X342" t="s">
        <v>5718</v>
      </c>
      <c r="Y342" t="s">
        <v>5719</v>
      </c>
      <c r="Z342" t="s">
        <v>5720</v>
      </c>
      <c r="AA342" t="s">
        <v>74</v>
      </c>
      <c r="AB342" t="s">
        <v>5721</v>
      </c>
      <c r="AC342" t="s">
        <v>74</v>
      </c>
      <c r="AD342" t="s">
        <v>74</v>
      </c>
      <c r="AE342" t="s">
        <v>74</v>
      </c>
      <c r="AF342" t="s">
        <v>74</v>
      </c>
      <c r="AG342">
        <v>33</v>
      </c>
      <c r="AH342">
        <v>53</v>
      </c>
      <c r="AI342">
        <v>56</v>
      </c>
      <c r="AJ342">
        <v>1</v>
      </c>
      <c r="AK342">
        <v>21</v>
      </c>
      <c r="AL342" t="s">
        <v>272</v>
      </c>
      <c r="AM342" t="s">
        <v>273</v>
      </c>
      <c r="AN342" t="s">
        <v>274</v>
      </c>
      <c r="AO342" t="s">
        <v>5722</v>
      </c>
      <c r="AP342" t="s">
        <v>5723</v>
      </c>
      <c r="AQ342" t="s">
        <v>74</v>
      </c>
      <c r="AR342" t="s">
        <v>5724</v>
      </c>
      <c r="AS342" t="s">
        <v>5725</v>
      </c>
      <c r="AT342" t="s">
        <v>4839</v>
      </c>
      <c r="AU342">
        <v>2007</v>
      </c>
      <c r="AV342">
        <v>66</v>
      </c>
      <c r="AW342" t="s">
        <v>4803</v>
      </c>
      <c r="AX342" t="s">
        <v>74</v>
      </c>
      <c r="AY342" t="s">
        <v>74</v>
      </c>
      <c r="AZ342" t="s">
        <v>74</v>
      </c>
      <c r="BA342" t="s">
        <v>74</v>
      </c>
      <c r="BB342">
        <v>130</v>
      </c>
      <c r="BC342">
        <v>139</v>
      </c>
      <c r="BD342" t="s">
        <v>74</v>
      </c>
      <c r="BE342" t="s">
        <v>5726</v>
      </c>
      <c r="BF342" t="str">
        <f>HYPERLINK("http://dx.doi.org/10.1016/j.jmarsys.2006.04.011","http://dx.doi.org/10.1016/j.jmarsys.2006.04.011")</f>
        <v>http://dx.doi.org/10.1016/j.jmarsys.2006.04.011</v>
      </c>
      <c r="BG342" t="s">
        <v>74</v>
      </c>
      <c r="BH342" t="s">
        <v>74</v>
      </c>
      <c r="BI342">
        <v>10</v>
      </c>
      <c r="BJ342" t="s">
        <v>5727</v>
      </c>
      <c r="BK342" t="s">
        <v>535</v>
      </c>
      <c r="BL342" t="s">
        <v>5728</v>
      </c>
      <c r="BM342" t="s">
        <v>5729</v>
      </c>
      <c r="BN342" t="s">
        <v>74</v>
      </c>
      <c r="BO342" t="s">
        <v>74</v>
      </c>
      <c r="BP342" t="s">
        <v>74</v>
      </c>
      <c r="BQ342" t="s">
        <v>74</v>
      </c>
      <c r="BR342" t="s">
        <v>101</v>
      </c>
      <c r="BS342" t="s">
        <v>5730</v>
      </c>
      <c r="BT342" t="str">
        <f>HYPERLINK("https%3A%2F%2Fwww.webofscience.com%2Fwos%2Fwoscc%2Ffull-record%2FWOS:000247171200013","View Full Record in Web of Science")</f>
        <v>View Full Record in Web of Science</v>
      </c>
    </row>
    <row r="343" spans="1:72" x14ac:dyDescent="0.15">
      <c r="A343" t="s">
        <v>72</v>
      </c>
      <c r="B343" t="s">
        <v>5731</v>
      </c>
      <c r="C343" t="s">
        <v>74</v>
      </c>
      <c r="D343" t="s">
        <v>74</v>
      </c>
      <c r="E343" t="s">
        <v>74</v>
      </c>
      <c r="F343" t="s">
        <v>5732</v>
      </c>
      <c r="G343" t="s">
        <v>74</v>
      </c>
      <c r="H343" t="s">
        <v>74</v>
      </c>
      <c r="I343" t="s">
        <v>5733</v>
      </c>
      <c r="J343" t="s">
        <v>5734</v>
      </c>
      <c r="K343" t="s">
        <v>74</v>
      </c>
      <c r="L343" t="s">
        <v>74</v>
      </c>
      <c r="M343" t="s">
        <v>78</v>
      </c>
      <c r="N343" t="s">
        <v>79</v>
      </c>
      <c r="O343" t="s">
        <v>74</v>
      </c>
      <c r="P343" t="s">
        <v>74</v>
      </c>
      <c r="Q343" t="s">
        <v>74</v>
      </c>
      <c r="R343" t="s">
        <v>74</v>
      </c>
      <c r="S343" t="s">
        <v>74</v>
      </c>
      <c r="T343" t="s">
        <v>5735</v>
      </c>
      <c r="U343" t="s">
        <v>5736</v>
      </c>
      <c r="V343" t="s">
        <v>5737</v>
      </c>
      <c r="W343" t="s">
        <v>5738</v>
      </c>
      <c r="X343" t="s">
        <v>5739</v>
      </c>
      <c r="Y343" t="s">
        <v>5740</v>
      </c>
      <c r="Z343" t="s">
        <v>5741</v>
      </c>
      <c r="AA343" t="s">
        <v>5742</v>
      </c>
      <c r="AB343" t="s">
        <v>5743</v>
      </c>
      <c r="AC343" t="s">
        <v>5744</v>
      </c>
      <c r="AD343" t="s">
        <v>5745</v>
      </c>
      <c r="AE343" t="s">
        <v>74</v>
      </c>
      <c r="AF343" t="s">
        <v>74</v>
      </c>
      <c r="AG343">
        <v>88</v>
      </c>
      <c r="AH343">
        <v>19</v>
      </c>
      <c r="AI343">
        <v>24</v>
      </c>
      <c r="AJ343">
        <v>0</v>
      </c>
      <c r="AK343">
        <v>8</v>
      </c>
      <c r="AL343" t="s">
        <v>1202</v>
      </c>
      <c r="AM343" t="s">
        <v>1203</v>
      </c>
      <c r="AN343" t="s">
        <v>1204</v>
      </c>
      <c r="AO343" t="s">
        <v>5746</v>
      </c>
      <c r="AP343" t="s">
        <v>5747</v>
      </c>
      <c r="AQ343" t="s">
        <v>74</v>
      </c>
      <c r="AR343" t="s">
        <v>5748</v>
      </c>
      <c r="AS343" t="s">
        <v>5749</v>
      </c>
      <c r="AT343" t="s">
        <v>4839</v>
      </c>
      <c r="AU343">
        <v>2007</v>
      </c>
      <c r="AV343">
        <v>268</v>
      </c>
      <c r="AW343">
        <v>6</v>
      </c>
      <c r="AX343" t="s">
        <v>74</v>
      </c>
      <c r="AY343" t="s">
        <v>74</v>
      </c>
      <c r="AZ343" t="s">
        <v>74</v>
      </c>
      <c r="BA343" t="s">
        <v>74</v>
      </c>
      <c r="BB343">
        <v>485</v>
      </c>
      <c r="BC343">
        <v>503</v>
      </c>
      <c r="BD343" t="s">
        <v>74</v>
      </c>
      <c r="BE343" t="s">
        <v>5750</v>
      </c>
      <c r="BF343" t="str">
        <f>HYPERLINK("http://dx.doi.org/10.1002/jmor.10534","http://dx.doi.org/10.1002/jmor.10534")</f>
        <v>http://dx.doi.org/10.1002/jmor.10534</v>
      </c>
      <c r="BG343" t="s">
        <v>74</v>
      </c>
      <c r="BH343" t="s">
        <v>74</v>
      </c>
      <c r="BI343">
        <v>19</v>
      </c>
      <c r="BJ343" t="s">
        <v>5751</v>
      </c>
      <c r="BK343" t="s">
        <v>98</v>
      </c>
      <c r="BL343" t="s">
        <v>5751</v>
      </c>
      <c r="BM343" t="s">
        <v>5752</v>
      </c>
      <c r="BN343">
        <v>17417804</v>
      </c>
      <c r="BO343" t="s">
        <v>74</v>
      </c>
      <c r="BP343" t="s">
        <v>74</v>
      </c>
      <c r="BQ343" t="s">
        <v>74</v>
      </c>
      <c r="BR343" t="s">
        <v>101</v>
      </c>
      <c r="BS343" t="s">
        <v>5753</v>
      </c>
      <c r="BT343" t="str">
        <f>HYPERLINK("https%3A%2F%2Fwww.webofscience.com%2Fwos%2Fwoscc%2Ffull-record%2FWOS:000246675400002","View Full Record in Web of Science")</f>
        <v>View Full Record in Web of Science</v>
      </c>
    </row>
    <row r="344" spans="1:72" x14ac:dyDescent="0.15">
      <c r="A344" t="s">
        <v>72</v>
      </c>
      <c r="B344" t="s">
        <v>5754</v>
      </c>
      <c r="C344" t="s">
        <v>74</v>
      </c>
      <c r="D344" t="s">
        <v>74</v>
      </c>
      <c r="E344" t="s">
        <v>74</v>
      </c>
      <c r="F344" t="s">
        <v>5755</v>
      </c>
      <c r="G344" t="s">
        <v>74</v>
      </c>
      <c r="H344" t="s">
        <v>74</v>
      </c>
      <c r="I344" t="s">
        <v>5756</v>
      </c>
      <c r="J344" t="s">
        <v>2042</v>
      </c>
      <c r="K344" t="s">
        <v>74</v>
      </c>
      <c r="L344" t="s">
        <v>74</v>
      </c>
      <c r="M344" t="s">
        <v>78</v>
      </c>
      <c r="N344" t="s">
        <v>79</v>
      </c>
      <c r="O344" t="s">
        <v>74</v>
      </c>
      <c r="P344" t="s">
        <v>74</v>
      </c>
      <c r="Q344" t="s">
        <v>74</v>
      </c>
      <c r="R344" t="s">
        <v>74</v>
      </c>
      <c r="S344" t="s">
        <v>74</v>
      </c>
      <c r="T344" t="s">
        <v>5757</v>
      </c>
      <c r="U344" t="s">
        <v>5758</v>
      </c>
      <c r="V344" t="s">
        <v>5759</v>
      </c>
      <c r="W344" t="s">
        <v>5760</v>
      </c>
      <c r="X344" t="s">
        <v>5761</v>
      </c>
      <c r="Y344" t="s">
        <v>5762</v>
      </c>
      <c r="Z344" t="s">
        <v>5763</v>
      </c>
      <c r="AA344" t="s">
        <v>5764</v>
      </c>
      <c r="AB344" t="s">
        <v>74</v>
      </c>
      <c r="AC344" t="s">
        <v>74</v>
      </c>
      <c r="AD344" t="s">
        <v>74</v>
      </c>
      <c r="AE344" t="s">
        <v>74</v>
      </c>
      <c r="AF344" t="s">
        <v>74</v>
      </c>
      <c r="AG344">
        <v>68</v>
      </c>
      <c r="AH344">
        <v>50</v>
      </c>
      <c r="AI344">
        <v>52</v>
      </c>
      <c r="AJ344">
        <v>0</v>
      </c>
      <c r="AK344">
        <v>12</v>
      </c>
      <c r="AL344" t="s">
        <v>1592</v>
      </c>
      <c r="AM344" t="s">
        <v>2052</v>
      </c>
      <c r="AN344" t="s">
        <v>2053</v>
      </c>
      <c r="AO344" t="s">
        <v>2054</v>
      </c>
      <c r="AP344" t="s">
        <v>2055</v>
      </c>
      <c r="AQ344" t="s">
        <v>74</v>
      </c>
      <c r="AR344" t="s">
        <v>2056</v>
      </c>
      <c r="AS344" t="s">
        <v>2057</v>
      </c>
      <c r="AT344" t="s">
        <v>4839</v>
      </c>
      <c r="AU344">
        <v>2007</v>
      </c>
      <c r="AV344">
        <v>63</v>
      </c>
      <c r="AW344">
        <v>3</v>
      </c>
      <c r="AX344" t="s">
        <v>74</v>
      </c>
      <c r="AY344" t="s">
        <v>74</v>
      </c>
      <c r="AZ344" t="s">
        <v>74</v>
      </c>
      <c r="BA344" t="s">
        <v>74</v>
      </c>
      <c r="BB344">
        <v>393</v>
      </c>
      <c r="BC344">
        <v>411</v>
      </c>
      <c r="BD344" t="s">
        <v>74</v>
      </c>
      <c r="BE344" t="s">
        <v>5765</v>
      </c>
      <c r="BF344" t="str">
        <f>HYPERLINK("http://dx.doi.org/10.1007/s10872-007-0037-2","http://dx.doi.org/10.1007/s10872-007-0037-2")</f>
        <v>http://dx.doi.org/10.1007/s10872-007-0037-2</v>
      </c>
      <c r="BG344" t="s">
        <v>74</v>
      </c>
      <c r="BH344" t="s">
        <v>74</v>
      </c>
      <c r="BI344">
        <v>19</v>
      </c>
      <c r="BJ344" t="s">
        <v>221</v>
      </c>
      <c r="BK344" t="s">
        <v>98</v>
      </c>
      <c r="BL344" t="s">
        <v>221</v>
      </c>
      <c r="BM344" t="s">
        <v>5766</v>
      </c>
      <c r="BN344" t="s">
        <v>74</v>
      </c>
      <c r="BO344" t="s">
        <v>74</v>
      </c>
      <c r="BP344" t="s">
        <v>74</v>
      </c>
      <c r="BQ344" t="s">
        <v>74</v>
      </c>
      <c r="BR344" t="s">
        <v>101</v>
      </c>
      <c r="BS344" t="s">
        <v>5767</v>
      </c>
      <c r="BT344" t="str">
        <f>HYPERLINK("https%3A%2F%2Fwww.webofscience.com%2Fwos%2Fwoscc%2Ffull-record%2FWOS:000246004700004","View Full Record in Web of Science")</f>
        <v>View Full Record in Web of Science</v>
      </c>
    </row>
    <row r="345" spans="1:72" x14ac:dyDescent="0.15">
      <c r="A345" t="s">
        <v>72</v>
      </c>
      <c r="B345" t="s">
        <v>5768</v>
      </c>
      <c r="C345" t="s">
        <v>74</v>
      </c>
      <c r="D345" t="s">
        <v>74</v>
      </c>
      <c r="E345" t="s">
        <v>74</v>
      </c>
      <c r="F345" t="s">
        <v>5769</v>
      </c>
      <c r="G345" t="s">
        <v>74</v>
      </c>
      <c r="H345" t="s">
        <v>74</v>
      </c>
      <c r="I345" t="s">
        <v>5770</v>
      </c>
      <c r="J345" t="s">
        <v>5771</v>
      </c>
      <c r="K345" t="s">
        <v>74</v>
      </c>
      <c r="L345" t="s">
        <v>74</v>
      </c>
      <c r="M345" t="s">
        <v>78</v>
      </c>
      <c r="N345" t="s">
        <v>79</v>
      </c>
      <c r="O345" t="s">
        <v>74</v>
      </c>
      <c r="P345" t="s">
        <v>74</v>
      </c>
      <c r="Q345" t="s">
        <v>74</v>
      </c>
      <c r="R345" t="s">
        <v>74</v>
      </c>
      <c r="S345" t="s">
        <v>74</v>
      </c>
      <c r="T345" t="s">
        <v>74</v>
      </c>
      <c r="U345" t="s">
        <v>74</v>
      </c>
      <c r="V345" t="s">
        <v>5772</v>
      </c>
      <c r="W345" t="s">
        <v>5773</v>
      </c>
      <c r="X345" t="s">
        <v>5774</v>
      </c>
      <c r="Y345" t="s">
        <v>5775</v>
      </c>
      <c r="Z345" t="s">
        <v>5776</v>
      </c>
      <c r="AA345" t="s">
        <v>5777</v>
      </c>
      <c r="AB345" t="s">
        <v>74</v>
      </c>
      <c r="AC345" t="s">
        <v>74</v>
      </c>
      <c r="AD345" t="s">
        <v>74</v>
      </c>
      <c r="AE345" t="s">
        <v>74</v>
      </c>
      <c r="AF345" t="s">
        <v>74</v>
      </c>
      <c r="AG345">
        <v>7</v>
      </c>
      <c r="AH345">
        <v>5</v>
      </c>
      <c r="AI345">
        <v>6</v>
      </c>
      <c r="AJ345">
        <v>0</v>
      </c>
      <c r="AK345">
        <v>5</v>
      </c>
      <c r="AL345" t="s">
        <v>1592</v>
      </c>
      <c r="AM345" t="s">
        <v>2052</v>
      </c>
      <c r="AN345" t="s">
        <v>2053</v>
      </c>
      <c r="AO345" t="s">
        <v>5778</v>
      </c>
      <c r="AP345" t="s">
        <v>74</v>
      </c>
      <c r="AQ345" t="s">
        <v>74</v>
      </c>
      <c r="AR345" t="s">
        <v>5779</v>
      </c>
      <c r="AS345" t="s">
        <v>5780</v>
      </c>
      <c r="AT345" t="s">
        <v>4839</v>
      </c>
      <c r="AU345">
        <v>2007</v>
      </c>
      <c r="AV345">
        <v>272</v>
      </c>
      <c r="AW345">
        <v>3</v>
      </c>
      <c r="AX345" t="s">
        <v>74</v>
      </c>
      <c r="AY345" t="s">
        <v>74</v>
      </c>
      <c r="AZ345" t="s">
        <v>74</v>
      </c>
      <c r="BA345" t="s">
        <v>74</v>
      </c>
      <c r="BB345">
        <v>447</v>
      </c>
      <c r="BC345">
        <v>450</v>
      </c>
      <c r="BD345" t="s">
        <v>74</v>
      </c>
      <c r="BE345" t="s">
        <v>5781</v>
      </c>
      <c r="BF345" t="str">
        <f>HYPERLINK("http://dx.doi.org/10.1007/s10967-007-0601-7","http://dx.doi.org/10.1007/s10967-007-0601-7")</f>
        <v>http://dx.doi.org/10.1007/s10967-007-0601-7</v>
      </c>
      <c r="BG345" t="s">
        <v>74</v>
      </c>
      <c r="BH345" t="s">
        <v>74</v>
      </c>
      <c r="BI345">
        <v>4</v>
      </c>
      <c r="BJ345" t="s">
        <v>5782</v>
      </c>
      <c r="BK345" t="s">
        <v>98</v>
      </c>
      <c r="BL345" t="s">
        <v>5783</v>
      </c>
      <c r="BM345" t="s">
        <v>5784</v>
      </c>
      <c r="BN345" t="s">
        <v>74</v>
      </c>
      <c r="BO345" t="s">
        <v>74</v>
      </c>
      <c r="BP345" t="s">
        <v>74</v>
      </c>
      <c r="BQ345" t="s">
        <v>74</v>
      </c>
      <c r="BR345" t="s">
        <v>101</v>
      </c>
      <c r="BS345" t="s">
        <v>5785</v>
      </c>
      <c r="BT345" t="str">
        <f>HYPERLINK("https%3A%2F%2Fwww.webofscience.com%2Fwos%2Fwoscc%2Ffull-record%2FWOS:000246184200001","View Full Record in Web of Science")</f>
        <v>View Full Record in Web of Science</v>
      </c>
    </row>
    <row r="346" spans="1:72" x14ac:dyDescent="0.15">
      <c r="A346" t="s">
        <v>72</v>
      </c>
      <c r="B346" t="s">
        <v>5786</v>
      </c>
      <c r="C346" t="s">
        <v>74</v>
      </c>
      <c r="D346" t="s">
        <v>74</v>
      </c>
      <c r="E346" t="s">
        <v>74</v>
      </c>
      <c r="F346" t="s">
        <v>5787</v>
      </c>
      <c r="G346" t="s">
        <v>74</v>
      </c>
      <c r="H346" t="s">
        <v>74</v>
      </c>
      <c r="I346" t="s">
        <v>5788</v>
      </c>
      <c r="J346" t="s">
        <v>5771</v>
      </c>
      <c r="K346" t="s">
        <v>74</v>
      </c>
      <c r="L346" t="s">
        <v>74</v>
      </c>
      <c r="M346" t="s">
        <v>78</v>
      </c>
      <c r="N346" t="s">
        <v>79</v>
      </c>
      <c r="O346" t="s">
        <v>74</v>
      </c>
      <c r="P346" t="s">
        <v>74</v>
      </c>
      <c r="Q346" t="s">
        <v>74</v>
      </c>
      <c r="R346" t="s">
        <v>74</v>
      </c>
      <c r="S346" t="s">
        <v>74</v>
      </c>
      <c r="T346" t="s">
        <v>74</v>
      </c>
      <c r="U346" t="s">
        <v>5789</v>
      </c>
      <c r="V346" t="s">
        <v>5790</v>
      </c>
      <c r="W346" t="s">
        <v>5791</v>
      </c>
      <c r="X346" t="s">
        <v>5792</v>
      </c>
      <c r="Y346" t="s">
        <v>5793</v>
      </c>
      <c r="Z346" t="s">
        <v>5794</v>
      </c>
      <c r="AA346" t="s">
        <v>5795</v>
      </c>
      <c r="AB346" t="s">
        <v>5796</v>
      </c>
      <c r="AC346" t="s">
        <v>74</v>
      </c>
      <c r="AD346" t="s">
        <v>74</v>
      </c>
      <c r="AE346" t="s">
        <v>74</v>
      </c>
      <c r="AF346" t="s">
        <v>74</v>
      </c>
      <c r="AG346">
        <v>19</v>
      </c>
      <c r="AH346">
        <v>7</v>
      </c>
      <c r="AI346">
        <v>9</v>
      </c>
      <c r="AJ346">
        <v>0</v>
      </c>
      <c r="AK346">
        <v>3</v>
      </c>
      <c r="AL346" t="s">
        <v>1592</v>
      </c>
      <c r="AM346" t="s">
        <v>2052</v>
      </c>
      <c r="AN346" t="s">
        <v>2053</v>
      </c>
      <c r="AO346" t="s">
        <v>5778</v>
      </c>
      <c r="AP346" t="s">
        <v>5797</v>
      </c>
      <c r="AQ346" t="s">
        <v>74</v>
      </c>
      <c r="AR346" t="s">
        <v>5779</v>
      </c>
      <c r="AS346" t="s">
        <v>5780</v>
      </c>
      <c r="AT346" t="s">
        <v>4839</v>
      </c>
      <c r="AU346">
        <v>2007</v>
      </c>
      <c r="AV346">
        <v>272</v>
      </c>
      <c r="AW346">
        <v>3</v>
      </c>
      <c r="AX346" t="s">
        <v>74</v>
      </c>
      <c r="AY346" t="s">
        <v>74</v>
      </c>
      <c r="AZ346" t="s">
        <v>74</v>
      </c>
      <c r="BA346" t="s">
        <v>74</v>
      </c>
      <c r="BB346">
        <v>501</v>
      </c>
      <c r="BC346">
        <v>504</v>
      </c>
      <c r="BD346" t="s">
        <v>74</v>
      </c>
      <c r="BE346" t="s">
        <v>5798</v>
      </c>
      <c r="BF346" t="str">
        <f>HYPERLINK("http://dx.doi.org/10.1007/s10967-007-0611-5","http://dx.doi.org/10.1007/s10967-007-0611-5")</f>
        <v>http://dx.doi.org/10.1007/s10967-007-0611-5</v>
      </c>
      <c r="BG346" t="s">
        <v>74</v>
      </c>
      <c r="BH346" t="s">
        <v>74</v>
      </c>
      <c r="BI346">
        <v>4</v>
      </c>
      <c r="BJ346" t="s">
        <v>5782</v>
      </c>
      <c r="BK346" t="s">
        <v>98</v>
      </c>
      <c r="BL346" t="s">
        <v>5783</v>
      </c>
      <c r="BM346" t="s">
        <v>5784</v>
      </c>
      <c r="BN346" t="s">
        <v>74</v>
      </c>
      <c r="BO346" t="s">
        <v>74</v>
      </c>
      <c r="BP346" t="s">
        <v>74</v>
      </c>
      <c r="BQ346" t="s">
        <v>74</v>
      </c>
      <c r="BR346" t="s">
        <v>101</v>
      </c>
      <c r="BS346" t="s">
        <v>5799</v>
      </c>
      <c r="BT346" t="str">
        <f>HYPERLINK("https%3A%2F%2Fwww.webofscience.com%2Fwos%2Fwoscc%2Ffull-record%2FWOS:000246184200011","View Full Record in Web of Science")</f>
        <v>View Full Record in Web of Science</v>
      </c>
    </row>
    <row r="347" spans="1:72" x14ac:dyDescent="0.15">
      <c r="A347" t="s">
        <v>72</v>
      </c>
      <c r="B347" t="s">
        <v>5800</v>
      </c>
      <c r="C347" t="s">
        <v>74</v>
      </c>
      <c r="D347" t="s">
        <v>74</v>
      </c>
      <c r="E347" t="s">
        <v>74</v>
      </c>
      <c r="F347" t="s">
        <v>5801</v>
      </c>
      <c r="G347" t="s">
        <v>74</v>
      </c>
      <c r="H347" t="s">
        <v>74</v>
      </c>
      <c r="I347" t="s">
        <v>5802</v>
      </c>
      <c r="J347" t="s">
        <v>5803</v>
      </c>
      <c r="K347" t="s">
        <v>74</v>
      </c>
      <c r="L347" t="s">
        <v>74</v>
      </c>
      <c r="M347" t="s">
        <v>78</v>
      </c>
      <c r="N347" t="s">
        <v>79</v>
      </c>
      <c r="O347" t="s">
        <v>74</v>
      </c>
      <c r="P347" t="s">
        <v>74</v>
      </c>
      <c r="Q347" t="s">
        <v>74</v>
      </c>
      <c r="R347" t="s">
        <v>74</v>
      </c>
      <c r="S347" t="s">
        <v>74</v>
      </c>
      <c r="T347" t="s">
        <v>5804</v>
      </c>
      <c r="U347" t="s">
        <v>5805</v>
      </c>
      <c r="V347" t="s">
        <v>5806</v>
      </c>
      <c r="W347" t="s">
        <v>5807</v>
      </c>
      <c r="X347" t="s">
        <v>5808</v>
      </c>
      <c r="Y347" t="s">
        <v>5809</v>
      </c>
      <c r="Z347" t="s">
        <v>5810</v>
      </c>
      <c r="AA347" t="s">
        <v>5811</v>
      </c>
      <c r="AB347" t="s">
        <v>5812</v>
      </c>
      <c r="AC347" t="s">
        <v>74</v>
      </c>
      <c r="AD347" t="s">
        <v>74</v>
      </c>
      <c r="AE347" t="s">
        <v>74</v>
      </c>
      <c r="AF347" t="s">
        <v>74</v>
      </c>
      <c r="AG347">
        <v>20</v>
      </c>
      <c r="AH347">
        <v>53</v>
      </c>
      <c r="AI347">
        <v>60</v>
      </c>
      <c r="AJ347">
        <v>2</v>
      </c>
      <c r="AK347">
        <v>12</v>
      </c>
      <c r="AL347" t="s">
        <v>1202</v>
      </c>
      <c r="AM347" t="s">
        <v>1203</v>
      </c>
      <c r="AN347" t="s">
        <v>1204</v>
      </c>
      <c r="AO347" t="s">
        <v>5813</v>
      </c>
      <c r="AP347" t="s">
        <v>5814</v>
      </c>
      <c r="AQ347" t="s">
        <v>74</v>
      </c>
      <c r="AR347" t="s">
        <v>5815</v>
      </c>
      <c r="AS347" t="s">
        <v>5816</v>
      </c>
      <c r="AT347" t="s">
        <v>4839</v>
      </c>
      <c r="AU347">
        <v>2007</v>
      </c>
      <c r="AV347">
        <v>84</v>
      </c>
      <c r="AW347">
        <v>6</v>
      </c>
      <c r="AX347" t="s">
        <v>74</v>
      </c>
      <c r="AY347" t="s">
        <v>74</v>
      </c>
      <c r="AZ347" t="s">
        <v>74</v>
      </c>
      <c r="BA347" t="s">
        <v>74</v>
      </c>
      <c r="BB347">
        <v>543</v>
      </c>
      <c r="BC347">
        <v>547</v>
      </c>
      <c r="BD347" t="s">
        <v>74</v>
      </c>
      <c r="BE347" t="s">
        <v>5817</v>
      </c>
      <c r="BF347" t="str">
        <f>HYPERLINK("http://dx.doi.org/10.1007/s11746-007-1070-4","http://dx.doi.org/10.1007/s11746-007-1070-4")</f>
        <v>http://dx.doi.org/10.1007/s11746-007-1070-4</v>
      </c>
      <c r="BG347" t="s">
        <v>74</v>
      </c>
      <c r="BH347" t="s">
        <v>74</v>
      </c>
      <c r="BI347">
        <v>5</v>
      </c>
      <c r="BJ347" t="s">
        <v>5818</v>
      </c>
      <c r="BK347" t="s">
        <v>98</v>
      </c>
      <c r="BL347" t="s">
        <v>5819</v>
      </c>
      <c r="BM347" t="s">
        <v>5820</v>
      </c>
      <c r="BN347" t="s">
        <v>74</v>
      </c>
      <c r="BO347" t="s">
        <v>74</v>
      </c>
      <c r="BP347" t="s">
        <v>74</v>
      </c>
      <c r="BQ347" t="s">
        <v>74</v>
      </c>
      <c r="BR347" t="s">
        <v>101</v>
      </c>
      <c r="BS347" t="s">
        <v>5821</v>
      </c>
      <c r="BT347" t="str">
        <f>HYPERLINK("https%3A%2F%2Fwww.webofscience.com%2Fwos%2Fwoscc%2Ffull-record%2FWOS:000247943300006","View Full Record in Web of Science")</f>
        <v>View Full Record in Web of Science</v>
      </c>
    </row>
    <row r="348" spans="1:72" x14ac:dyDescent="0.15">
      <c r="A348" t="s">
        <v>72</v>
      </c>
      <c r="B348" t="s">
        <v>5822</v>
      </c>
      <c r="C348" t="s">
        <v>74</v>
      </c>
      <c r="D348" t="s">
        <v>74</v>
      </c>
      <c r="E348" t="s">
        <v>74</v>
      </c>
      <c r="F348" t="s">
        <v>5823</v>
      </c>
      <c r="G348" t="s">
        <v>74</v>
      </c>
      <c r="H348" t="s">
        <v>74</v>
      </c>
      <c r="I348" t="s">
        <v>5824</v>
      </c>
      <c r="J348" t="s">
        <v>5825</v>
      </c>
      <c r="K348" t="s">
        <v>74</v>
      </c>
      <c r="L348" t="s">
        <v>74</v>
      </c>
      <c r="M348" t="s">
        <v>78</v>
      </c>
      <c r="N348" t="s">
        <v>5421</v>
      </c>
      <c r="O348" t="s">
        <v>74</v>
      </c>
      <c r="P348" t="s">
        <v>74</v>
      </c>
      <c r="Q348" t="s">
        <v>74</v>
      </c>
      <c r="R348" t="s">
        <v>74</v>
      </c>
      <c r="S348" t="s">
        <v>74</v>
      </c>
      <c r="T348" t="s">
        <v>74</v>
      </c>
      <c r="U348" t="s">
        <v>74</v>
      </c>
      <c r="V348" t="s">
        <v>74</v>
      </c>
      <c r="W348" t="s">
        <v>5826</v>
      </c>
      <c r="X348" t="s">
        <v>5827</v>
      </c>
      <c r="Y348" t="s">
        <v>5828</v>
      </c>
      <c r="Z348" t="s">
        <v>74</v>
      </c>
      <c r="AA348" t="s">
        <v>5829</v>
      </c>
      <c r="AB348" t="s">
        <v>5830</v>
      </c>
      <c r="AC348" t="s">
        <v>74</v>
      </c>
      <c r="AD348" t="s">
        <v>74</v>
      </c>
      <c r="AE348" t="s">
        <v>74</v>
      </c>
      <c r="AF348" t="s">
        <v>74</v>
      </c>
      <c r="AG348">
        <v>1</v>
      </c>
      <c r="AH348">
        <v>0</v>
      </c>
      <c r="AI348">
        <v>0</v>
      </c>
      <c r="AJ348">
        <v>0</v>
      </c>
      <c r="AK348">
        <v>1</v>
      </c>
      <c r="AL348" t="s">
        <v>5831</v>
      </c>
      <c r="AM348" t="s">
        <v>1593</v>
      </c>
      <c r="AN348" t="s">
        <v>5832</v>
      </c>
      <c r="AO348" t="s">
        <v>5833</v>
      </c>
      <c r="AP348" t="s">
        <v>74</v>
      </c>
      <c r="AQ348" t="s">
        <v>74</v>
      </c>
      <c r="AR348" t="s">
        <v>5834</v>
      </c>
      <c r="AS348" t="s">
        <v>5835</v>
      </c>
      <c r="AT348" t="s">
        <v>5080</v>
      </c>
      <c r="AU348">
        <v>2007</v>
      </c>
      <c r="AV348">
        <v>132</v>
      </c>
      <c r="AW348">
        <v>10</v>
      </c>
      <c r="AX348" t="s">
        <v>74</v>
      </c>
      <c r="AY348" t="s">
        <v>74</v>
      </c>
      <c r="AZ348" t="s">
        <v>74</v>
      </c>
      <c r="BA348" t="s">
        <v>74</v>
      </c>
      <c r="BB348">
        <v>148</v>
      </c>
      <c r="BC348">
        <v>148</v>
      </c>
      <c r="BD348" t="s">
        <v>74</v>
      </c>
      <c r="BE348" t="s">
        <v>74</v>
      </c>
      <c r="BF348" t="s">
        <v>74</v>
      </c>
      <c r="BG348" t="s">
        <v>74</v>
      </c>
      <c r="BH348" t="s">
        <v>74</v>
      </c>
      <c r="BI348">
        <v>1</v>
      </c>
      <c r="BJ348" t="s">
        <v>5836</v>
      </c>
      <c r="BK348" t="s">
        <v>2746</v>
      </c>
      <c r="BL348" t="s">
        <v>5836</v>
      </c>
      <c r="BM348" t="s">
        <v>5837</v>
      </c>
      <c r="BN348" t="s">
        <v>74</v>
      </c>
      <c r="BO348" t="s">
        <v>74</v>
      </c>
      <c r="BP348" t="s">
        <v>74</v>
      </c>
      <c r="BQ348" t="s">
        <v>74</v>
      </c>
      <c r="BR348" t="s">
        <v>101</v>
      </c>
      <c r="BS348" t="s">
        <v>5838</v>
      </c>
      <c r="BT348" t="str">
        <f>HYPERLINK("https%3A%2F%2Fwww.webofscience.com%2Fwos%2Fwoscc%2Ffull-record%2FWOS:000247012900200","View Full Record in Web of Science")</f>
        <v>View Full Record in Web of Science</v>
      </c>
    </row>
    <row r="349" spans="1:72" x14ac:dyDescent="0.15">
      <c r="A349" t="s">
        <v>72</v>
      </c>
      <c r="B349" t="s">
        <v>5839</v>
      </c>
      <c r="C349" t="s">
        <v>74</v>
      </c>
      <c r="D349" t="s">
        <v>74</v>
      </c>
      <c r="E349" t="s">
        <v>74</v>
      </c>
      <c r="F349" t="s">
        <v>5840</v>
      </c>
      <c r="G349" t="s">
        <v>74</v>
      </c>
      <c r="H349" t="s">
        <v>74</v>
      </c>
      <c r="I349" t="s">
        <v>5841</v>
      </c>
      <c r="J349" t="s">
        <v>2161</v>
      </c>
      <c r="K349" t="s">
        <v>74</v>
      </c>
      <c r="L349" t="s">
        <v>74</v>
      </c>
      <c r="M349" t="s">
        <v>78</v>
      </c>
      <c r="N349" t="s">
        <v>79</v>
      </c>
      <c r="O349" t="s">
        <v>74</v>
      </c>
      <c r="P349" t="s">
        <v>74</v>
      </c>
      <c r="Q349" t="s">
        <v>74</v>
      </c>
      <c r="R349" t="s">
        <v>74</v>
      </c>
      <c r="S349" t="s">
        <v>74</v>
      </c>
      <c r="T349" t="s">
        <v>74</v>
      </c>
      <c r="U349" t="s">
        <v>5842</v>
      </c>
      <c r="V349" t="s">
        <v>5843</v>
      </c>
      <c r="W349" t="s">
        <v>5844</v>
      </c>
      <c r="X349" t="s">
        <v>5845</v>
      </c>
      <c r="Y349" t="s">
        <v>2401</v>
      </c>
      <c r="Z349" t="s">
        <v>2402</v>
      </c>
      <c r="AA349" t="s">
        <v>5846</v>
      </c>
      <c r="AB349" t="s">
        <v>5847</v>
      </c>
      <c r="AC349" t="s">
        <v>5848</v>
      </c>
      <c r="AD349" t="s">
        <v>361</v>
      </c>
      <c r="AE349" t="s">
        <v>74</v>
      </c>
      <c r="AF349" t="s">
        <v>74</v>
      </c>
      <c r="AG349">
        <v>36</v>
      </c>
      <c r="AH349">
        <v>18</v>
      </c>
      <c r="AI349">
        <v>19</v>
      </c>
      <c r="AJ349">
        <v>0</v>
      </c>
      <c r="AK349">
        <v>13</v>
      </c>
      <c r="AL349" t="s">
        <v>2170</v>
      </c>
      <c r="AM349" t="s">
        <v>2171</v>
      </c>
      <c r="AN349" t="s">
        <v>2172</v>
      </c>
      <c r="AO349" t="s">
        <v>2173</v>
      </c>
      <c r="AP349" t="s">
        <v>2174</v>
      </c>
      <c r="AQ349" t="s">
        <v>74</v>
      </c>
      <c r="AR349" t="s">
        <v>2175</v>
      </c>
      <c r="AS349" t="s">
        <v>2176</v>
      </c>
      <c r="AT349" t="s">
        <v>4839</v>
      </c>
      <c r="AU349">
        <v>2007</v>
      </c>
      <c r="AV349">
        <v>151</v>
      </c>
      <c r="AW349">
        <v>5</v>
      </c>
      <c r="AX349" t="s">
        <v>74</v>
      </c>
      <c r="AY349" t="s">
        <v>74</v>
      </c>
      <c r="AZ349" t="s">
        <v>74</v>
      </c>
      <c r="BA349" t="s">
        <v>74</v>
      </c>
      <c r="BB349">
        <v>1823</v>
      </c>
      <c r="BC349">
        <v>1830</v>
      </c>
      <c r="BD349" t="s">
        <v>74</v>
      </c>
      <c r="BE349" t="s">
        <v>5849</v>
      </c>
      <c r="BF349" t="str">
        <f>HYPERLINK("http://dx.doi.org/10.1007/s00227-007-0610-7","http://dx.doi.org/10.1007/s00227-007-0610-7")</f>
        <v>http://dx.doi.org/10.1007/s00227-007-0610-7</v>
      </c>
      <c r="BG349" t="s">
        <v>74</v>
      </c>
      <c r="BH349" t="s">
        <v>74</v>
      </c>
      <c r="BI349">
        <v>8</v>
      </c>
      <c r="BJ349" t="s">
        <v>2178</v>
      </c>
      <c r="BK349" t="s">
        <v>98</v>
      </c>
      <c r="BL349" t="s">
        <v>2178</v>
      </c>
      <c r="BM349" t="s">
        <v>5850</v>
      </c>
      <c r="BN349" t="s">
        <v>74</v>
      </c>
      <c r="BO349" t="s">
        <v>74</v>
      </c>
      <c r="BP349" t="s">
        <v>74</v>
      </c>
      <c r="BQ349" t="s">
        <v>74</v>
      </c>
      <c r="BR349" t="s">
        <v>101</v>
      </c>
      <c r="BS349" t="s">
        <v>5851</v>
      </c>
      <c r="BT349" t="str">
        <f>HYPERLINK("https%3A%2F%2Fwww.webofscience.com%2Fwos%2Fwoscc%2Ffull-record%2FWOS:000246614300020","View Full Record in Web of Science")</f>
        <v>View Full Record in Web of Science</v>
      </c>
    </row>
    <row r="350" spans="1:72" x14ac:dyDescent="0.15">
      <c r="A350" t="s">
        <v>72</v>
      </c>
      <c r="B350" t="s">
        <v>5852</v>
      </c>
      <c r="C350" t="s">
        <v>74</v>
      </c>
      <c r="D350" t="s">
        <v>74</v>
      </c>
      <c r="E350" t="s">
        <v>74</v>
      </c>
      <c r="F350" t="s">
        <v>5853</v>
      </c>
      <c r="G350" t="s">
        <v>74</v>
      </c>
      <c r="H350" t="s">
        <v>74</v>
      </c>
      <c r="I350" t="s">
        <v>5854</v>
      </c>
      <c r="J350" t="s">
        <v>2161</v>
      </c>
      <c r="K350" t="s">
        <v>74</v>
      </c>
      <c r="L350" t="s">
        <v>74</v>
      </c>
      <c r="M350" t="s">
        <v>78</v>
      </c>
      <c r="N350" t="s">
        <v>79</v>
      </c>
      <c r="O350" t="s">
        <v>74</v>
      </c>
      <c r="P350" t="s">
        <v>74</v>
      </c>
      <c r="Q350" t="s">
        <v>74</v>
      </c>
      <c r="R350" t="s">
        <v>74</v>
      </c>
      <c r="S350" t="s">
        <v>74</v>
      </c>
      <c r="T350" t="s">
        <v>74</v>
      </c>
      <c r="U350" t="s">
        <v>5855</v>
      </c>
      <c r="V350" t="s">
        <v>5856</v>
      </c>
      <c r="W350" t="s">
        <v>5857</v>
      </c>
      <c r="X350" t="s">
        <v>5858</v>
      </c>
      <c r="Y350" t="s">
        <v>5859</v>
      </c>
      <c r="Z350" t="s">
        <v>5860</v>
      </c>
      <c r="AA350" t="s">
        <v>74</v>
      </c>
      <c r="AB350" t="s">
        <v>5861</v>
      </c>
      <c r="AC350" t="s">
        <v>74</v>
      </c>
      <c r="AD350" t="s">
        <v>74</v>
      </c>
      <c r="AE350" t="s">
        <v>74</v>
      </c>
      <c r="AF350" t="s">
        <v>74</v>
      </c>
      <c r="AG350">
        <v>26</v>
      </c>
      <c r="AH350">
        <v>21</v>
      </c>
      <c r="AI350">
        <v>22</v>
      </c>
      <c r="AJ350">
        <v>0</v>
      </c>
      <c r="AK350">
        <v>13</v>
      </c>
      <c r="AL350" t="s">
        <v>2170</v>
      </c>
      <c r="AM350" t="s">
        <v>2171</v>
      </c>
      <c r="AN350" t="s">
        <v>2172</v>
      </c>
      <c r="AO350" t="s">
        <v>2173</v>
      </c>
      <c r="AP350" t="s">
        <v>2174</v>
      </c>
      <c r="AQ350" t="s">
        <v>74</v>
      </c>
      <c r="AR350" t="s">
        <v>2175</v>
      </c>
      <c r="AS350" t="s">
        <v>2176</v>
      </c>
      <c r="AT350" t="s">
        <v>4839</v>
      </c>
      <c r="AU350">
        <v>2007</v>
      </c>
      <c r="AV350">
        <v>151</v>
      </c>
      <c r="AW350">
        <v>5</v>
      </c>
      <c r="AX350" t="s">
        <v>74</v>
      </c>
      <c r="AY350" t="s">
        <v>74</v>
      </c>
      <c r="AZ350" t="s">
        <v>74</v>
      </c>
      <c r="BA350" t="s">
        <v>74</v>
      </c>
      <c r="BB350">
        <v>1959</v>
      </c>
      <c r="BC350">
        <v>1966</v>
      </c>
      <c r="BD350" t="s">
        <v>74</v>
      </c>
      <c r="BE350" t="s">
        <v>5862</v>
      </c>
      <c r="BF350" t="str">
        <f>HYPERLINK("http://dx.doi.org/10.1007/s00227-007-0633-0","http://dx.doi.org/10.1007/s00227-007-0633-0")</f>
        <v>http://dx.doi.org/10.1007/s00227-007-0633-0</v>
      </c>
      <c r="BG350" t="s">
        <v>74</v>
      </c>
      <c r="BH350" t="s">
        <v>74</v>
      </c>
      <c r="BI350">
        <v>8</v>
      </c>
      <c r="BJ350" t="s">
        <v>2178</v>
      </c>
      <c r="BK350" t="s">
        <v>98</v>
      </c>
      <c r="BL350" t="s">
        <v>2178</v>
      </c>
      <c r="BM350" t="s">
        <v>5850</v>
      </c>
      <c r="BN350" t="s">
        <v>74</v>
      </c>
      <c r="BO350" t="s">
        <v>1249</v>
      </c>
      <c r="BP350" t="s">
        <v>74</v>
      </c>
      <c r="BQ350" t="s">
        <v>74</v>
      </c>
      <c r="BR350" t="s">
        <v>101</v>
      </c>
      <c r="BS350" t="s">
        <v>5863</v>
      </c>
      <c r="BT350" t="str">
        <f>HYPERLINK("https%3A%2F%2Fwww.webofscience.com%2Fwos%2Fwoscc%2Ffull-record%2FWOS:000246614300034","View Full Record in Web of Science")</f>
        <v>View Full Record in Web of Science</v>
      </c>
    </row>
    <row r="351" spans="1:72" x14ac:dyDescent="0.15">
      <c r="A351" t="s">
        <v>72</v>
      </c>
      <c r="B351" t="s">
        <v>5864</v>
      </c>
      <c r="C351" t="s">
        <v>74</v>
      </c>
      <c r="D351" t="s">
        <v>74</v>
      </c>
      <c r="E351" t="s">
        <v>74</v>
      </c>
      <c r="F351" t="s">
        <v>5865</v>
      </c>
      <c r="G351" t="s">
        <v>74</v>
      </c>
      <c r="H351" t="s">
        <v>74</v>
      </c>
      <c r="I351" t="s">
        <v>5866</v>
      </c>
      <c r="J351" t="s">
        <v>5867</v>
      </c>
      <c r="K351" t="s">
        <v>74</v>
      </c>
      <c r="L351" t="s">
        <v>74</v>
      </c>
      <c r="M351" t="s">
        <v>78</v>
      </c>
      <c r="N351" t="s">
        <v>248</v>
      </c>
      <c r="O351" t="s">
        <v>74</v>
      </c>
      <c r="P351" t="s">
        <v>74</v>
      </c>
      <c r="Q351" t="s">
        <v>74</v>
      </c>
      <c r="R351" t="s">
        <v>74</v>
      </c>
      <c r="S351" t="s">
        <v>74</v>
      </c>
      <c r="T351" t="s">
        <v>74</v>
      </c>
      <c r="U351" t="s">
        <v>5868</v>
      </c>
      <c r="V351" t="s">
        <v>5869</v>
      </c>
      <c r="W351" t="s">
        <v>74</v>
      </c>
      <c r="X351" t="s">
        <v>74</v>
      </c>
      <c r="Y351" t="s">
        <v>74</v>
      </c>
      <c r="Z351" t="s">
        <v>74</v>
      </c>
      <c r="AA351" t="s">
        <v>74</v>
      </c>
      <c r="AB351" t="s">
        <v>74</v>
      </c>
      <c r="AC351" t="s">
        <v>5870</v>
      </c>
      <c r="AD351" t="s">
        <v>5870</v>
      </c>
      <c r="AE351" t="s">
        <v>5871</v>
      </c>
      <c r="AF351" t="s">
        <v>74</v>
      </c>
      <c r="AG351">
        <v>39</v>
      </c>
      <c r="AH351">
        <v>1</v>
      </c>
      <c r="AI351">
        <v>1</v>
      </c>
      <c r="AJ351">
        <v>0</v>
      </c>
      <c r="AK351">
        <v>0</v>
      </c>
      <c r="AL351" t="s">
        <v>5872</v>
      </c>
      <c r="AM351" t="s">
        <v>5873</v>
      </c>
      <c r="AN351" t="s">
        <v>5874</v>
      </c>
      <c r="AO351" t="s">
        <v>5875</v>
      </c>
      <c r="AP351" t="s">
        <v>5876</v>
      </c>
      <c r="AQ351" t="s">
        <v>74</v>
      </c>
      <c r="AR351" t="s">
        <v>5877</v>
      </c>
      <c r="AS351" t="s">
        <v>5878</v>
      </c>
      <c r="AT351" t="s">
        <v>4839</v>
      </c>
      <c r="AU351">
        <v>2007</v>
      </c>
      <c r="AV351">
        <v>62</v>
      </c>
      <c r="AW351">
        <v>3</v>
      </c>
      <c r="AX351" t="s">
        <v>74</v>
      </c>
      <c r="AY351" t="s">
        <v>74</v>
      </c>
      <c r="AZ351" t="s">
        <v>74</v>
      </c>
      <c r="BA351" t="s">
        <v>74</v>
      </c>
      <c r="BB351">
        <v>143</v>
      </c>
      <c r="BC351">
        <v>154</v>
      </c>
      <c r="BD351" t="s">
        <v>74</v>
      </c>
      <c r="BE351" t="s">
        <v>5879</v>
      </c>
      <c r="BF351" t="str">
        <f>HYPERLINK("http://dx.doi.org/10.3103/S0145875207030027","http://dx.doi.org/10.3103/S0145875207030027")</f>
        <v>http://dx.doi.org/10.3103/S0145875207030027</v>
      </c>
      <c r="BG351" t="s">
        <v>74</v>
      </c>
      <c r="BH351" t="s">
        <v>74</v>
      </c>
      <c r="BI351">
        <v>12</v>
      </c>
      <c r="BJ351" t="s">
        <v>152</v>
      </c>
      <c r="BK351" t="s">
        <v>4083</v>
      </c>
      <c r="BL351" t="s">
        <v>152</v>
      </c>
      <c r="BM351" t="s">
        <v>5880</v>
      </c>
      <c r="BN351" t="s">
        <v>74</v>
      </c>
      <c r="BO351" t="s">
        <v>74</v>
      </c>
      <c r="BP351" t="s">
        <v>74</v>
      </c>
      <c r="BQ351" t="s">
        <v>74</v>
      </c>
      <c r="BR351" t="s">
        <v>101</v>
      </c>
      <c r="BS351" t="s">
        <v>5881</v>
      </c>
      <c r="BT351" t="str">
        <f>HYPERLINK("https%3A%2F%2Fwww.webofscience.com%2Fwos%2Fwoscc%2Ffull-record%2FWOS:000217734000002","View Full Record in Web of Science")</f>
        <v>View Full Record in Web of Science</v>
      </c>
    </row>
    <row r="352" spans="1:72" x14ac:dyDescent="0.15">
      <c r="A352" t="s">
        <v>72</v>
      </c>
      <c r="B352" t="s">
        <v>5882</v>
      </c>
      <c r="C352" t="s">
        <v>74</v>
      </c>
      <c r="D352" t="s">
        <v>74</v>
      </c>
      <c r="E352" t="s">
        <v>74</v>
      </c>
      <c r="F352" t="s">
        <v>5883</v>
      </c>
      <c r="G352" t="s">
        <v>74</v>
      </c>
      <c r="H352" t="s">
        <v>74</v>
      </c>
      <c r="I352" t="s">
        <v>5884</v>
      </c>
      <c r="J352" t="s">
        <v>5885</v>
      </c>
      <c r="K352" t="s">
        <v>74</v>
      </c>
      <c r="L352" t="s">
        <v>74</v>
      </c>
      <c r="M352" t="s">
        <v>78</v>
      </c>
      <c r="N352" t="s">
        <v>514</v>
      </c>
      <c r="O352" t="s">
        <v>5886</v>
      </c>
      <c r="P352" t="s">
        <v>5887</v>
      </c>
      <c r="Q352" t="s">
        <v>5888</v>
      </c>
      <c r="R352" t="s">
        <v>74</v>
      </c>
      <c r="S352" t="s">
        <v>5889</v>
      </c>
      <c r="T352" t="s">
        <v>5890</v>
      </c>
      <c r="U352" t="s">
        <v>5891</v>
      </c>
      <c r="V352" t="s">
        <v>5892</v>
      </c>
      <c r="W352" t="s">
        <v>5893</v>
      </c>
      <c r="X352" t="s">
        <v>5894</v>
      </c>
      <c r="Y352" t="s">
        <v>5895</v>
      </c>
      <c r="Z352" t="s">
        <v>5896</v>
      </c>
      <c r="AA352" t="s">
        <v>74</v>
      </c>
      <c r="AB352" t="s">
        <v>74</v>
      </c>
      <c r="AC352" t="s">
        <v>74</v>
      </c>
      <c r="AD352" t="s">
        <v>74</v>
      </c>
      <c r="AE352" t="s">
        <v>74</v>
      </c>
      <c r="AF352" t="s">
        <v>74</v>
      </c>
      <c r="AG352">
        <v>26</v>
      </c>
      <c r="AH352">
        <v>15</v>
      </c>
      <c r="AI352">
        <v>18</v>
      </c>
      <c r="AJ352">
        <v>0</v>
      </c>
      <c r="AK352">
        <v>9</v>
      </c>
      <c r="AL352" t="s">
        <v>272</v>
      </c>
      <c r="AM352" t="s">
        <v>273</v>
      </c>
      <c r="AN352" t="s">
        <v>274</v>
      </c>
      <c r="AO352" t="s">
        <v>5897</v>
      </c>
      <c r="AP352" t="s">
        <v>5898</v>
      </c>
      <c r="AQ352" t="s">
        <v>74</v>
      </c>
      <c r="AR352" t="s">
        <v>5899</v>
      </c>
      <c r="AS352" t="s">
        <v>5900</v>
      </c>
      <c r="AT352" t="s">
        <v>4839</v>
      </c>
      <c r="AU352">
        <v>2007</v>
      </c>
      <c r="AV352">
        <v>259</v>
      </c>
      <c r="AW352">
        <v>1</v>
      </c>
      <c r="AX352" t="s">
        <v>74</v>
      </c>
      <c r="AY352" t="s">
        <v>74</v>
      </c>
      <c r="AZ352" t="s">
        <v>74</v>
      </c>
      <c r="BA352" t="s">
        <v>74</v>
      </c>
      <c r="BB352">
        <v>576</v>
      </c>
      <c r="BC352">
        <v>583</v>
      </c>
      <c r="BD352" t="s">
        <v>74</v>
      </c>
      <c r="BE352" t="s">
        <v>5901</v>
      </c>
      <c r="BF352" t="str">
        <f>HYPERLINK("http://dx.doi.org/10.1016/j.nimb.2007.01.203","http://dx.doi.org/10.1016/j.nimb.2007.01.203")</f>
        <v>http://dx.doi.org/10.1016/j.nimb.2007.01.203</v>
      </c>
      <c r="BG352" t="s">
        <v>74</v>
      </c>
      <c r="BH352" t="s">
        <v>74</v>
      </c>
      <c r="BI352">
        <v>8</v>
      </c>
      <c r="BJ352" t="s">
        <v>5902</v>
      </c>
      <c r="BK352" t="s">
        <v>535</v>
      </c>
      <c r="BL352" t="s">
        <v>5903</v>
      </c>
      <c r="BM352" t="s">
        <v>5904</v>
      </c>
      <c r="BN352" t="s">
        <v>74</v>
      </c>
      <c r="BO352" t="s">
        <v>74</v>
      </c>
      <c r="BP352" t="s">
        <v>74</v>
      </c>
      <c r="BQ352" t="s">
        <v>74</v>
      </c>
      <c r="BR352" t="s">
        <v>101</v>
      </c>
      <c r="BS352" t="s">
        <v>5905</v>
      </c>
      <c r="BT352" t="str">
        <f>HYPERLINK("https%3A%2F%2Fwww.webofscience.com%2Fwos%2Fwoscc%2Ffull-record%2FWOS:000247535600104","View Full Record in Web of Science")</f>
        <v>View Full Record in Web of Science</v>
      </c>
    </row>
    <row r="353" spans="1:72" x14ac:dyDescent="0.15">
      <c r="A353" t="s">
        <v>72</v>
      </c>
      <c r="B353" t="s">
        <v>5906</v>
      </c>
      <c r="C353" t="s">
        <v>74</v>
      </c>
      <c r="D353" t="s">
        <v>74</v>
      </c>
      <c r="E353" t="s">
        <v>74</v>
      </c>
      <c r="F353" t="s">
        <v>5907</v>
      </c>
      <c r="G353" t="s">
        <v>74</v>
      </c>
      <c r="H353" t="s">
        <v>74</v>
      </c>
      <c r="I353" t="s">
        <v>5908</v>
      </c>
      <c r="J353" t="s">
        <v>5885</v>
      </c>
      <c r="K353" t="s">
        <v>74</v>
      </c>
      <c r="L353" t="s">
        <v>74</v>
      </c>
      <c r="M353" t="s">
        <v>78</v>
      </c>
      <c r="N353" t="s">
        <v>514</v>
      </c>
      <c r="O353" t="s">
        <v>5886</v>
      </c>
      <c r="P353" t="s">
        <v>5887</v>
      </c>
      <c r="Q353" t="s">
        <v>5888</v>
      </c>
      <c r="R353" t="s">
        <v>74</v>
      </c>
      <c r="S353" t="s">
        <v>5889</v>
      </c>
      <c r="T353" t="s">
        <v>5909</v>
      </c>
      <c r="U353" t="s">
        <v>74</v>
      </c>
      <c r="V353" t="s">
        <v>5910</v>
      </c>
      <c r="W353" t="s">
        <v>5911</v>
      </c>
      <c r="X353" t="s">
        <v>5912</v>
      </c>
      <c r="Y353" t="s">
        <v>5913</v>
      </c>
      <c r="Z353" t="s">
        <v>5914</v>
      </c>
      <c r="AA353" t="s">
        <v>74</v>
      </c>
      <c r="AB353" t="s">
        <v>5915</v>
      </c>
      <c r="AC353" t="s">
        <v>74</v>
      </c>
      <c r="AD353" t="s">
        <v>74</v>
      </c>
      <c r="AE353" t="s">
        <v>74</v>
      </c>
      <c r="AF353" t="s">
        <v>74</v>
      </c>
      <c r="AG353">
        <v>5</v>
      </c>
      <c r="AH353">
        <v>6</v>
      </c>
      <c r="AI353">
        <v>6</v>
      </c>
      <c r="AJ353">
        <v>0</v>
      </c>
      <c r="AK353">
        <v>3</v>
      </c>
      <c r="AL353" t="s">
        <v>592</v>
      </c>
      <c r="AM353" t="s">
        <v>273</v>
      </c>
      <c r="AN353" t="s">
        <v>593</v>
      </c>
      <c r="AO353" t="s">
        <v>5897</v>
      </c>
      <c r="AP353" t="s">
        <v>5898</v>
      </c>
      <c r="AQ353" t="s">
        <v>74</v>
      </c>
      <c r="AR353" t="s">
        <v>5899</v>
      </c>
      <c r="AS353" t="s">
        <v>5900</v>
      </c>
      <c r="AT353" t="s">
        <v>4839</v>
      </c>
      <c r="AU353">
        <v>2007</v>
      </c>
      <c r="AV353">
        <v>259</v>
      </c>
      <c r="AW353">
        <v>1</v>
      </c>
      <c r="AX353" t="s">
        <v>74</v>
      </c>
      <c r="AY353" t="s">
        <v>74</v>
      </c>
      <c r="AZ353" t="s">
        <v>74</v>
      </c>
      <c r="BA353" t="s">
        <v>74</v>
      </c>
      <c r="BB353">
        <v>625</v>
      </c>
      <c r="BC353">
        <v>628</v>
      </c>
      <c r="BD353" t="s">
        <v>74</v>
      </c>
      <c r="BE353" t="s">
        <v>5916</v>
      </c>
      <c r="BF353" t="str">
        <f>HYPERLINK("http://dx.doi.org/10.1016/j.nimb.2007.01.240","http://dx.doi.org/10.1016/j.nimb.2007.01.240")</f>
        <v>http://dx.doi.org/10.1016/j.nimb.2007.01.240</v>
      </c>
      <c r="BG353" t="s">
        <v>74</v>
      </c>
      <c r="BH353" t="s">
        <v>74</v>
      </c>
      <c r="BI353">
        <v>4</v>
      </c>
      <c r="BJ353" t="s">
        <v>5902</v>
      </c>
      <c r="BK353" t="s">
        <v>535</v>
      </c>
      <c r="BL353" t="s">
        <v>5903</v>
      </c>
      <c r="BM353" t="s">
        <v>5904</v>
      </c>
      <c r="BN353" t="s">
        <v>74</v>
      </c>
      <c r="BO353" t="s">
        <v>74</v>
      </c>
      <c r="BP353" t="s">
        <v>74</v>
      </c>
      <c r="BQ353" t="s">
        <v>74</v>
      </c>
      <c r="BR353" t="s">
        <v>101</v>
      </c>
      <c r="BS353" t="s">
        <v>5917</v>
      </c>
      <c r="BT353" t="str">
        <f>HYPERLINK("https%3A%2F%2Fwww.webofscience.com%2Fwos%2Fwoscc%2Ffull-record%2FWOS:000247535600111","View Full Record in Web of Science")</f>
        <v>View Full Record in Web of Science</v>
      </c>
    </row>
    <row r="354" spans="1:72" x14ac:dyDescent="0.15">
      <c r="A354" t="s">
        <v>72</v>
      </c>
      <c r="B354" t="s">
        <v>5918</v>
      </c>
      <c r="C354" t="s">
        <v>74</v>
      </c>
      <c r="D354" t="s">
        <v>74</v>
      </c>
      <c r="E354" t="s">
        <v>74</v>
      </c>
      <c r="F354" t="s">
        <v>5919</v>
      </c>
      <c r="G354" t="s">
        <v>74</v>
      </c>
      <c r="H354" t="s">
        <v>74</v>
      </c>
      <c r="I354" t="s">
        <v>5920</v>
      </c>
      <c r="J354" t="s">
        <v>5885</v>
      </c>
      <c r="K354" t="s">
        <v>74</v>
      </c>
      <c r="L354" t="s">
        <v>74</v>
      </c>
      <c r="M354" t="s">
        <v>78</v>
      </c>
      <c r="N354" t="s">
        <v>514</v>
      </c>
      <c r="O354" t="s">
        <v>5886</v>
      </c>
      <c r="P354" t="s">
        <v>5887</v>
      </c>
      <c r="Q354" t="s">
        <v>5888</v>
      </c>
      <c r="R354" t="s">
        <v>74</v>
      </c>
      <c r="S354" t="s">
        <v>5889</v>
      </c>
      <c r="T354" t="s">
        <v>5921</v>
      </c>
      <c r="U354" t="s">
        <v>5922</v>
      </c>
      <c r="V354" t="s">
        <v>5923</v>
      </c>
      <c r="W354" t="s">
        <v>5924</v>
      </c>
      <c r="X354" t="s">
        <v>5925</v>
      </c>
      <c r="Y354" t="s">
        <v>5926</v>
      </c>
      <c r="Z354" t="s">
        <v>5927</v>
      </c>
      <c r="AA354" t="s">
        <v>5928</v>
      </c>
      <c r="AB354" t="s">
        <v>5929</v>
      </c>
      <c r="AC354" t="s">
        <v>74</v>
      </c>
      <c r="AD354" t="s">
        <v>74</v>
      </c>
      <c r="AE354" t="s">
        <v>74</v>
      </c>
      <c r="AF354" t="s">
        <v>74</v>
      </c>
      <c r="AG354">
        <v>42</v>
      </c>
      <c r="AH354">
        <v>14</v>
      </c>
      <c r="AI354">
        <v>15</v>
      </c>
      <c r="AJ354">
        <v>2</v>
      </c>
      <c r="AK354">
        <v>14</v>
      </c>
      <c r="AL354" t="s">
        <v>272</v>
      </c>
      <c r="AM354" t="s">
        <v>273</v>
      </c>
      <c r="AN354" t="s">
        <v>274</v>
      </c>
      <c r="AO354" t="s">
        <v>5897</v>
      </c>
      <c r="AP354" t="s">
        <v>5898</v>
      </c>
      <c r="AQ354" t="s">
        <v>74</v>
      </c>
      <c r="AR354" t="s">
        <v>5899</v>
      </c>
      <c r="AS354" t="s">
        <v>5900</v>
      </c>
      <c r="AT354" t="s">
        <v>4839</v>
      </c>
      <c r="AU354">
        <v>2007</v>
      </c>
      <c r="AV354">
        <v>259</v>
      </c>
      <c r="AW354">
        <v>1</v>
      </c>
      <c r="AX354" t="s">
        <v>74</v>
      </c>
      <c r="AY354" t="s">
        <v>74</v>
      </c>
      <c r="AZ354" t="s">
        <v>74</v>
      </c>
      <c r="BA354" t="s">
        <v>74</v>
      </c>
      <c r="BB354">
        <v>653</v>
      </c>
      <c r="BC354">
        <v>662</v>
      </c>
      <c r="BD354" t="s">
        <v>74</v>
      </c>
      <c r="BE354" t="s">
        <v>5930</v>
      </c>
      <c r="BF354" t="str">
        <f>HYPERLINK("http://dx.doi.org/10.1016/j.nimb.2007.01.204","http://dx.doi.org/10.1016/j.nimb.2007.01.204")</f>
        <v>http://dx.doi.org/10.1016/j.nimb.2007.01.204</v>
      </c>
      <c r="BG354" t="s">
        <v>74</v>
      </c>
      <c r="BH354" t="s">
        <v>74</v>
      </c>
      <c r="BI354">
        <v>10</v>
      </c>
      <c r="BJ354" t="s">
        <v>5902</v>
      </c>
      <c r="BK354" t="s">
        <v>535</v>
      </c>
      <c r="BL354" t="s">
        <v>5903</v>
      </c>
      <c r="BM354" t="s">
        <v>5904</v>
      </c>
      <c r="BN354" t="s">
        <v>74</v>
      </c>
      <c r="BO354" t="s">
        <v>74</v>
      </c>
      <c r="BP354" t="s">
        <v>74</v>
      </c>
      <c r="BQ354" t="s">
        <v>74</v>
      </c>
      <c r="BR354" t="s">
        <v>101</v>
      </c>
      <c r="BS354" t="s">
        <v>5931</v>
      </c>
      <c r="BT354" t="str">
        <f>HYPERLINK("https%3A%2F%2Fwww.webofscience.com%2Fwos%2Fwoscc%2Ffull-record%2FWOS:000247535600117","View Full Record in Web of Science")</f>
        <v>View Full Record in Web of Science</v>
      </c>
    </row>
    <row r="355" spans="1:72" x14ac:dyDescent="0.15">
      <c r="A355" t="s">
        <v>5932</v>
      </c>
      <c r="B355" t="s">
        <v>5933</v>
      </c>
      <c r="C355" t="s">
        <v>74</v>
      </c>
      <c r="D355" t="s">
        <v>74</v>
      </c>
      <c r="E355" t="s">
        <v>74</v>
      </c>
      <c r="F355" t="s">
        <v>5934</v>
      </c>
      <c r="G355" t="s">
        <v>74</v>
      </c>
      <c r="H355" t="s">
        <v>5935</v>
      </c>
      <c r="I355" t="s">
        <v>5936</v>
      </c>
      <c r="J355" t="s">
        <v>5937</v>
      </c>
      <c r="K355" t="s">
        <v>74</v>
      </c>
      <c r="L355" t="s">
        <v>74</v>
      </c>
      <c r="M355" t="s">
        <v>78</v>
      </c>
      <c r="N355" t="s">
        <v>5938</v>
      </c>
      <c r="O355" t="s">
        <v>5939</v>
      </c>
      <c r="P355" t="s">
        <v>5940</v>
      </c>
      <c r="Q355" t="s">
        <v>5941</v>
      </c>
      <c r="R355" t="s">
        <v>74</v>
      </c>
      <c r="S355" t="s">
        <v>74</v>
      </c>
      <c r="T355" t="s">
        <v>74</v>
      </c>
      <c r="U355" t="s">
        <v>74</v>
      </c>
      <c r="V355" t="s">
        <v>5942</v>
      </c>
      <c r="W355" t="s">
        <v>5943</v>
      </c>
      <c r="X355" t="s">
        <v>5944</v>
      </c>
      <c r="Y355" t="s">
        <v>5945</v>
      </c>
      <c r="Z355" t="s">
        <v>5946</v>
      </c>
      <c r="AA355" t="s">
        <v>74</v>
      </c>
      <c r="AB355" t="s">
        <v>74</v>
      </c>
      <c r="AC355" t="s">
        <v>74</v>
      </c>
      <c r="AD355" t="s">
        <v>74</v>
      </c>
      <c r="AE355" t="s">
        <v>74</v>
      </c>
      <c r="AF355" t="s">
        <v>74</v>
      </c>
      <c r="AG355">
        <v>10</v>
      </c>
      <c r="AH355">
        <v>6</v>
      </c>
      <c r="AI355">
        <v>6</v>
      </c>
      <c r="AJ355">
        <v>0</v>
      </c>
      <c r="AK355">
        <v>0</v>
      </c>
      <c r="AL355" t="s">
        <v>272</v>
      </c>
      <c r="AM355" t="s">
        <v>273</v>
      </c>
      <c r="AN355" t="s">
        <v>274</v>
      </c>
      <c r="AO355" t="s">
        <v>5947</v>
      </c>
      <c r="AP355" t="s">
        <v>5948</v>
      </c>
      <c r="AQ355" t="s">
        <v>74</v>
      </c>
      <c r="AR355" t="s">
        <v>5949</v>
      </c>
      <c r="AS355" t="s">
        <v>5950</v>
      </c>
      <c r="AT355" t="s">
        <v>4839</v>
      </c>
      <c r="AU355">
        <v>2007</v>
      </c>
      <c r="AV355">
        <v>168</v>
      </c>
      <c r="AW355" t="s">
        <v>74</v>
      </c>
      <c r="AX355" t="s">
        <v>74</v>
      </c>
      <c r="AY355" t="s">
        <v>74</v>
      </c>
      <c r="AZ355" t="s">
        <v>74</v>
      </c>
      <c r="BA355" t="s">
        <v>74</v>
      </c>
      <c r="BB355">
        <v>268</v>
      </c>
      <c r="BC355">
        <v>270</v>
      </c>
      <c r="BD355" t="s">
        <v>74</v>
      </c>
      <c r="BE355" t="s">
        <v>5951</v>
      </c>
      <c r="BF355" t="str">
        <f>HYPERLINK("http://dx.doi.org/10.1016/j.nuclphysbps.2007.02.085","http://dx.doi.org/10.1016/j.nuclphysbps.2007.02.085")</f>
        <v>http://dx.doi.org/10.1016/j.nuclphysbps.2007.02.085</v>
      </c>
      <c r="BG355" t="s">
        <v>74</v>
      </c>
      <c r="BH355" t="s">
        <v>74</v>
      </c>
      <c r="BI355">
        <v>3</v>
      </c>
      <c r="BJ355" t="s">
        <v>5952</v>
      </c>
      <c r="BK355" t="s">
        <v>5953</v>
      </c>
      <c r="BL355" t="s">
        <v>4084</v>
      </c>
      <c r="BM355" t="s">
        <v>5954</v>
      </c>
      <c r="BN355" t="s">
        <v>74</v>
      </c>
      <c r="BO355" t="s">
        <v>74</v>
      </c>
      <c r="BP355" t="s">
        <v>74</v>
      </c>
      <c r="BQ355" t="s">
        <v>74</v>
      </c>
      <c r="BR355" t="s">
        <v>101</v>
      </c>
      <c r="BS355" t="s">
        <v>5955</v>
      </c>
      <c r="BT355" t="str">
        <f>HYPERLINK("https%3A%2F%2Fwww.webofscience.com%2Fwos%2Fwoscc%2Ffull-record%2FWOS:000247535900061","View Full Record in Web of Science")</f>
        <v>View Full Record in Web of Science</v>
      </c>
    </row>
    <row r="356" spans="1:72" x14ac:dyDescent="0.15">
      <c r="A356" t="s">
        <v>72</v>
      </c>
      <c r="B356" t="s">
        <v>5956</v>
      </c>
      <c r="C356" t="s">
        <v>74</v>
      </c>
      <c r="D356" t="s">
        <v>74</v>
      </c>
      <c r="E356" t="s">
        <v>74</v>
      </c>
      <c r="F356" t="s">
        <v>5957</v>
      </c>
      <c r="G356" t="s">
        <v>74</v>
      </c>
      <c r="H356" t="s">
        <v>74</v>
      </c>
      <c r="I356" t="s">
        <v>5958</v>
      </c>
      <c r="J356" t="s">
        <v>5959</v>
      </c>
      <c r="K356" t="s">
        <v>74</v>
      </c>
      <c r="L356" t="s">
        <v>74</v>
      </c>
      <c r="M356" t="s">
        <v>78</v>
      </c>
      <c r="N356" t="s">
        <v>79</v>
      </c>
      <c r="O356" t="s">
        <v>74</v>
      </c>
      <c r="P356" t="s">
        <v>74</v>
      </c>
      <c r="Q356" t="s">
        <v>74</v>
      </c>
      <c r="R356" t="s">
        <v>74</v>
      </c>
      <c r="S356" t="s">
        <v>74</v>
      </c>
      <c r="T356" t="s">
        <v>74</v>
      </c>
      <c r="U356" t="s">
        <v>5960</v>
      </c>
      <c r="V356" t="s">
        <v>74</v>
      </c>
      <c r="W356" t="s">
        <v>5961</v>
      </c>
      <c r="X356" t="s">
        <v>5962</v>
      </c>
      <c r="Y356" t="s">
        <v>5963</v>
      </c>
      <c r="Z356" t="s">
        <v>5964</v>
      </c>
      <c r="AA356" t="s">
        <v>5965</v>
      </c>
      <c r="AB356" t="s">
        <v>5966</v>
      </c>
      <c r="AC356" t="s">
        <v>5967</v>
      </c>
      <c r="AD356" t="s">
        <v>5968</v>
      </c>
      <c r="AE356" t="s">
        <v>5969</v>
      </c>
      <c r="AF356" t="s">
        <v>74</v>
      </c>
      <c r="AG356">
        <v>63</v>
      </c>
      <c r="AH356">
        <v>9</v>
      </c>
      <c r="AI356">
        <v>9</v>
      </c>
      <c r="AJ356">
        <v>1</v>
      </c>
      <c r="AK356">
        <v>20</v>
      </c>
      <c r="AL356" t="s">
        <v>5970</v>
      </c>
      <c r="AM356" t="s">
        <v>5971</v>
      </c>
      <c r="AN356" t="s">
        <v>5972</v>
      </c>
      <c r="AO356" t="s">
        <v>5973</v>
      </c>
      <c r="AP356" t="s">
        <v>74</v>
      </c>
      <c r="AQ356" t="s">
        <v>74</v>
      </c>
      <c r="AR356" t="s">
        <v>5959</v>
      </c>
      <c r="AS356" t="s">
        <v>221</v>
      </c>
      <c r="AT356" t="s">
        <v>4839</v>
      </c>
      <c r="AU356">
        <v>2007</v>
      </c>
      <c r="AV356">
        <v>20</v>
      </c>
      <c r="AW356">
        <v>2</v>
      </c>
      <c r="AX356" t="s">
        <v>74</v>
      </c>
      <c r="AY356" t="s">
        <v>74</v>
      </c>
      <c r="AZ356" t="s">
        <v>532</v>
      </c>
      <c r="BA356" t="s">
        <v>74</v>
      </c>
      <c r="BB356">
        <v>140</v>
      </c>
      <c r="BC356">
        <v>145</v>
      </c>
      <c r="BD356" t="s">
        <v>74</v>
      </c>
      <c r="BE356" t="s">
        <v>5974</v>
      </c>
      <c r="BF356" t="str">
        <f>HYPERLINK("http://dx.doi.org/10.5670/oceanog.2007.59","http://dx.doi.org/10.5670/oceanog.2007.59")</f>
        <v>http://dx.doi.org/10.5670/oceanog.2007.59</v>
      </c>
      <c r="BG356" t="s">
        <v>74</v>
      </c>
      <c r="BH356" t="s">
        <v>74</v>
      </c>
      <c r="BI356">
        <v>6</v>
      </c>
      <c r="BJ356" t="s">
        <v>221</v>
      </c>
      <c r="BK356" t="s">
        <v>98</v>
      </c>
      <c r="BL356" t="s">
        <v>221</v>
      </c>
      <c r="BM356" t="s">
        <v>5975</v>
      </c>
      <c r="BN356" t="s">
        <v>74</v>
      </c>
      <c r="BO356" t="s">
        <v>125</v>
      </c>
      <c r="BP356" t="s">
        <v>74</v>
      </c>
      <c r="BQ356" t="s">
        <v>74</v>
      </c>
      <c r="BR356" t="s">
        <v>101</v>
      </c>
      <c r="BS356" t="s">
        <v>5976</v>
      </c>
      <c r="BT356" t="str">
        <f>HYPERLINK("https%3A%2F%2Fwww.webofscience.com%2Fwos%2Fwoscc%2Ffull-record%2FWOS:000261638100024","View Full Record in Web of Science")</f>
        <v>View Full Record in Web of Science</v>
      </c>
    </row>
    <row r="357" spans="1:72" x14ac:dyDescent="0.15">
      <c r="A357" t="s">
        <v>72</v>
      </c>
      <c r="B357" t="s">
        <v>5977</v>
      </c>
      <c r="C357" t="s">
        <v>74</v>
      </c>
      <c r="D357" t="s">
        <v>74</v>
      </c>
      <c r="E357" t="s">
        <v>74</v>
      </c>
      <c r="F357" t="s">
        <v>5978</v>
      </c>
      <c r="G357" t="s">
        <v>74</v>
      </c>
      <c r="H357" t="s">
        <v>74</v>
      </c>
      <c r="I357" t="s">
        <v>5979</v>
      </c>
      <c r="J357" t="s">
        <v>2363</v>
      </c>
      <c r="K357" t="s">
        <v>74</v>
      </c>
      <c r="L357" t="s">
        <v>74</v>
      </c>
      <c r="M357" t="s">
        <v>78</v>
      </c>
      <c r="N357" t="s">
        <v>79</v>
      </c>
      <c r="O357" t="s">
        <v>74</v>
      </c>
      <c r="P357" t="s">
        <v>74</v>
      </c>
      <c r="Q357" t="s">
        <v>74</v>
      </c>
      <c r="R357" t="s">
        <v>74</v>
      </c>
      <c r="S357" t="s">
        <v>74</v>
      </c>
      <c r="T357" t="s">
        <v>74</v>
      </c>
      <c r="U357" t="s">
        <v>5980</v>
      </c>
      <c r="V357" t="s">
        <v>5981</v>
      </c>
      <c r="W357" t="s">
        <v>5982</v>
      </c>
      <c r="X357" t="s">
        <v>5983</v>
      </c>
      <c r="Y357" t="s">
        <v>5984</v>
      </c>
      <c r="Z357" t="s">
        <v>5985</v>
      </c>
      <c r="AA357" t="s">
        <v>74</v>
      </c>
      <c r="AB357" t="s">
        <v>74</v>
      </c>
      <c r="AC357" t="s">
        <v>74</v>
      </c>
      <c r="AD357" t="s">
        <v>74</v>
      </c>
      <c r="AE357" t="s">
        <v>74</v>
      </c>
      <c r="AF357" t="s">
        <v>74</v>
      </c>
      <c r="AG357">
        <v>14</v>
      </c>
      <c r="AH357">
        <v>15</v>
      </c>
      <c r="AI357">
        <v>15</v>
      </c>
      <c r="AJ357">
        <v>0</v>
      </c>
      <c r="AK357">
        <v>2</v>
      </c>
      <c r="AL357" t="s">
        <v>1677</v>
      </c>
      <c r="AM357" t="s">
        <v>1593</v>
      </c>
      <c r="AN357" t="s">
        <v>1678</v>
      </c>
      <c r="AO357" t="s">
        <v>2372</v>
      </c>
      <c r="AP357" t="s">
        <v>74</v>
      </c>
      <c r="AQ357" t="s">
        <v>74</v>
      </c>
      <c r="AR357" t="s">
        <v>2374</v>
      </c>
      <c r="AS357" t="s">
        <v>2375</v>
      </c>
      <c r="AT357" t="s">
        <v>4839</v>
      </c>
      <c r="AU357">
        <v>2007</v>
      </c>
      <c r="AV357">
        <v>47</v>
      </c>
      <c r="AW357">
        <v>3</v>
      </c>
      <c r="AX357" t="s">
        <v>74</v>
      </c>
      <c r="AY357" t="s">
        <v>74</v>
      </c>
      <c r="AZ357" t="s">
        <v>74</v>
      </c>
      <c r="BA357" t="s">
        <v>74</v>
      </c>
      <c r="BB357">
        <v>334</v>
      </c>
      <c r="BC357">
        <v>343</v>
      </c>
      <c r="BD357" t="s">
        <v>74</v>
      </c>
      <c r="BE357" t="s">
        <v>5986</v>
      </c>
      <c r="BF357" t="str">
        <f>HYPERLINK("http://dx.doi.org/10.1134/S0001437007030058","http://dx.doi.org/10.1134/S0001437007030058")</f>
        <v>http://dx.doi.org/10.1134/S0001437007030058</v>
      </c>
      <c r="BG357" t="s">
        <v>74</v>
      </c>
      <c r="BH357" t="s">
        <v>74</v>
      </c>
      <c r="BI357">
        <v>10</v>
      </c>
      <c r="BJ357" t="s">
        <v>221</v>
      </c>
      <c r="BK357" t="s">
        <v>98</v>
      </c>
      <c r="BL357" t="s">
        <v>221</v>
      </c>
      <c r="BM357" t="s">
        <v>5987</v>
      </c>
      <c r="BN357" t="s">
        <v>74</v>
      </c>
      <c r="BO357" t="s">
        <v>74</v>
      </c>
      <c r="BP357" t="s">
        <v>74</v>
      </c>
      <c r="BQ357" t="s">
        <v>74</v>
      </c>
      <c r="BR357" t="s">
        <v>101</v>
      </c>
      <c r="BS357" t="s">
        <v>5988</v>
      </c>
      <c r="BT357" t="str">
        <f>HYPERLINK("https%3A%2F%2Fwww.webofscience.com%2Fwos%2Fwoscc%2Ffull-record%2FWOS:000248003800005","View Full Record in Web of Science")</f>
        <v>View Full Record in Web of Science</v>
      </c>
    </row>
    <row r="358" spans="1:72" x14ac:dyDescent="0.15">
      <c r="A358" t="s">
        <v>72</v>
      </c>
      <c r="B358" t="s">
        <v>5989</v>
      </c>
      <c r="C358" t="s">
        <v>74</v>
      </c>
      <c r="D358" t="s">
        <v>74</v>
      </c>
      <c r="E358" t="s">
        <v>74</v>
      </c>
      <c r="F358" t="s">
        <v>5990</v>
      </c>
      <c r="G358" t="s">
        <v>74</v>
      </c>
      <c r="H358" t="s">
        <v>74</v>
      </c>
      <c r="I358" t="s">
        <v>5991</v>
      </c>
      <c r="J358" t="s">
        <v>2363</v>
      </c>
      <c r="K358" t="s">
        <v>74</v>
      </c>
      <c r="L358" t="s">
        <v>74</v>
      </c>
      <c r="M358" t="s">
        <v>78</v>
      </c>
      <c r="N358" t="s">
        <v>79</v>
      </c>
      <c r="O358" t="s">
        <v>74</v>
      </c>
      <c r="P358" t="s">
        <v>74</v>
      </c>
      <c r="Q358" t="s">
        <v>74</v>
      </c>
      <c r="R358" t="s">
        <v>74</v>
      </c>
      <c r="S358" t="s">
        <v>74</v>
      </c>
      <c r="T358" t="s">
        <v>74</v>
      </c>
      <c r="U358" t="s">
        <v>5992</v>
      </c>
      <c r="V358" t="s">
        <v>5993</v>
      </c>
      <c r="W358" t="s">
        <v>2384</v>
      </c>
      <c r="X358" t="s">
        <v>2385</v>
      </c>
      <c r="Y358" t="s">
        <v>5994</v>
      </c>
      <c r="Z358" t="s">
        <v>74</v>
      </c>
      <c r="AA358" t="s">
        <v>74</v>
      </c>
      <c r="AB358" t="s">
        <v>74</v>
      </c>
      <c r="AC358" t="s">
        <v>74</v>
      </c>
      <c r="AD358" t="s">
        <v>74</v>
      </c>
      <c r="AE358" t="s">
        <v>74</v>
      </c>
      <c r="AF358" t="s">
        <v>74</v>
      </c>
      <c r="AG358">
        <v>16</v>
      </c>
      <c r="AH358">
        <v>0</v>
      </c>
      <c r="AI358">
        <v>0</v>
      </c>
      <c r="AJ358">
        <v>0</v>
      </c>
      <c r="AK358">
        <v>3</v>
      </c>
      <c r="AL358" t="s">
        <v>1677</v>
      </c>
      <c r="AM358" t="s">
        <v>1593</v>
      </c>
      <c r="AN358" t="s">
        <v>1678</v>
      </c>
      <c r="AO358" t="s">
        <v>2372</v>
      </c>
      <c r="AP358" t="s">
        <v>74</v>
      </c>
      <c r="AQ358" t="s">
        <v>74</v>
      </c>
      <c r="AR358" t="s">
        <v>2374</v>
      </c>
      <c r="AS358" t="s">
        <v>2375</v>
      </c>
      <c r="AT358" t="s">
        <v>4839</v>
      </c>
      <c r="AU358">
        <v>2007</v>
      </c>
      <c r="AV358">
        <v>47</v>
      </c>
      <c r="AW358">
        <v>3</v>
      </c>
      <c r="AX358" t="s">
        <v>74</v>
      </c>
      <c r="AY358" t="s">
        <v>74</v>
      </c>
      <c r="AZ358" t="s">
        <v>74</v>
      </c>
      <c r="BA358" t="s">
        <v>74</v>
      </c>
      <c r="BB358">
        <v>373</v>
      </c>
      <c r="BC358">
        <v>376</v>
      </c>
      <c r="BD358" t="s">
        <v>74</v>
      </c>
      <c r="BE358" t="s">
        <v>5995</v>
      </c>
      <c r="BF358" t="str">
        <f>HYPERLINK("http://dx.doi.org/10.1134/S0001437007030095","http://dx.doi.org/10.1134/S0001437007030095")</f>
        <v>http://dx.doi.org/10.1134/S0001437007030095</v>
      </c>
      <c r="BG358" t="s">
        <v>74</v>
      </c>
      <c r="BH358" t="s">
        <v>74</v>
      </c>
      <c r="BI358">
        <v>4</v>
      </c>
      <c r="BJ358" t="s">
        <v>221</v>
      </c>
      <c r="BK358" t="s">
        <v>98</v>
      </c>
      <c r="BL358" t="s">
        <v>221</v>
      </c>
      <c r="BM358" t="s">
        <v>5987</v>
      </c>
      <c r="BN358" t="s">
        <v>74</v>
      </c>
      <c r="BO358" t="s">
        <v>74</v>
      </c>
      <c r="BP358" t="s">
        <v>74</v>
      </c>
      <c r="BQ358" t="s">
        <v>74</v>
      </c>
      <c r="BR358" t="s">
        <v>101</v>
      </c>
      <c r="BS358" t="s">
        <v>5996</v>
      </c>
      <c r="BT358" t="str">
        <f>HYPERLINK("https%3A%2F%2Fwww.webofscience.com%2Fwos%2Fwoscc%2Ffull-record%2FWOS:000248003800009","View Full Record in Web of Science")</f>
        <v>View Full Record in Web of Science</v>
      </c>
    </row>
    <row r="359" spans="1:72" x14ac:dyDescent="0.15">
      <c r="A359" t="s">
        <v>72</v>
      </c>
      <c r="B359" t="s">
        <v>5997</v>
      </c>
      <c r="C359" t="s">
        <v>74</v>
      </c>
      <c r="D359" t="s">
        <v>74</v>
      </c>
      <c r="E359" t="s">
        <v>74</v>
      </c>
      <c r="F359" t="s">
        <v>5998</v>
      </c>
      <c r="G359" t="s">
        <v>74</v>
      </c>
      <c r="H359" t="s">
        <v>74</v>
      </c>
      <c r="I359" t="s">
        <v>5999</v>
      </c>
      <c r="J359" t="s">
        <v>6000</v>
      </c>
      <c r="K359" t="s">
        <v>74</v>
      </c>
      <c r="L359" t="s">
        <v>74</v>
      </c>
      <c r="M359" t="s">
        <v>78</v>
      </c>
      <c r="N359" t="s">
        <v>79</v>
      </c>
      <c r="O359" t="s">
        <v>74</v>
      </c>
      <c r="P359" t="s">
        <v>74</v>
      </c>
      <c r="Q359" t="s">
        <v>74</v>
      </c>
      <c r="R359" t="s">
        <v>74</v>
      </c>
      <c r="S359" t="s">
        <v>74</v>
      </c>
      <c r="T359" t="s">
        <v>6001</v>
      </c>
      <c r="U359" t="s">
        <v>6002</v>
      </c>
      <c r="V359" t="s">
        <v>6003</v>
      </c>
      <c r="W359" t="s">
        <v>6004</v>
      </c>
      <c r="X359" t="s">
        <v>6005</v>
      </c>
      <c r="Y359" t="s">
        <v>6006</v>
      </c>
      <c r="Z359" t="s">
        <v>6007</v>
      </c>
      <c r="AA359" t="s">
        <v>6008</v>
      </c>
      <c r="AB359" t="s">
        <v>6009</v>
      </c>
      <c r="AC359" t="s">
        <v>74</v>
      </c>
      <c r="AD359" t="s">
        <v>74</v>
      </c>
      <c r="AE359" t="s">
        <v>74</v>
      </c>
      <c r="AF359" t="s">
        <v>74</v>
      </c>
      <c r="AG359">
        <v>58</v>
      </c>
      <c r="AH359">
        <v>16</v>
      </c>
      <c r="AI359">
        <v>18</v>
      </c>
      <c r="AJ359">
        <v>1</v>
      </c>
      <c r="AK359">
        <v>19</v>
      </c>
      <c r="AL359" t="s">
        <v>1592</v>
      </c>
      <c r="AM359" t="s">
        <v>2052</v>
      </c>
      <c r="AN359" t="s">
        <v>2053</v>
      </c>
      <c r="AO359" t="s">
        <v>6010</v>
      </c>
      <c r="AP359" t="s">
        <v>6011</v>
      </c>
      <c r="AQ359" t="s">
        <v>74</v>
      </c>
      <c r="AR359" t="s">
        <v>6012</v>
      </c>
      <c r="AS359" t="s">
        <v>6013</v>
      </c>
      <c r="AT359" t="s">
        <v>4839</v>
      </c>
      <c r="AU359">
        <v>2007</v>
      </c>
      <c r="AV359">
        <v>37</v>
      </c>
      <c r="AW359">
        <v>3</v>
      </c>
      <c r="AX359" t="s">
        <v>74</v>
      </c>
      <c r="AY359" t="s">
        <v>74</v>
      </c>
      <c r="AZ359" t="s">
        <v>74</v>
      </c>
      <c r="BA359" t="s">
        <v>74</v>
      </c>
      <c r="BB359">
        <v>287</v>
      </c>
      <c r="BC359">
        <v>295</v>
      </c>
      <c r="BD359" t="s">
        <v>74</v>
      </c>
      <c r="BE359" t="s">
        <v>6014</v>
      </c>
      <c r="BF359" t="str">
        <f>HYPERLINK("http://dx.doi.org/10.1007/s11084-007-9068-3","http://dx.doi.org/10.1007/s11084-007-9068-3")</f>
        <v>http://dx.doi.org/10.1007/s11084-007-9068-3</v>
      </c>
      <c r="BG359" t="s">
        <v>74</v>
      </c>
      <c r="BH359" t="s">
        <v>74</v>
      </c>
      <c r="BI359">
        <v>9</v>
      </c>
      <c r="BJ359" t="s">
        <v>794</v>
      </c>
      <c r="BK359" t="s">
        <v>98</v>
      </c>
      <c r="BL359" t="s">
        <v>795</v>
      </c>
      <c r="BM359" t="s">
        <v>6015</v>
      </c>
      <c r="BN359">
        <v>17361321</v>
      </c>
      <c r="BO359" t="s">
        <v>223</v>
      </c>
      <c r="BP359" t="s">
        <v>74</v>
      </c>
      <c r="BQ359" t="s">
        <v>74</v>
      </c>
      <c r="BR359" t="s">
        <v>101</v>
      </c>
      <c r="BS359" t="s">
        <v>6016</v>
      </c>
      <c r="BT359" t="str">
        <f>HYPERLINK("https%3A%2F%2Fwww.webofscience.com%2Fwos%2Fwoscc%2Ffull-record%2FWOS:000247305500007","View Full Record in Web of Science")</f>
        <v>View Full Record in Web of Science</v>
      </c>
    </row>
    <row r="360" spans="1:72" x14ac:dyDescent="0.15">
      <c r="A360" t="s">
        <v>72</v>
      </c>
      <c r="B360" t="s">
        <v>6017</v>
      </c>
      <c r="C360" t="s">
        <v>74</v>
      </c>
      <c r="D360" t="s">
        <v>74</v>
      </c>
      <c r="E360" t="s">
        <v>74</v>
      </c>
      <c r="F360" t="s">
        <v>6018</v>
      </c>
      <c r="G360" t="s">
        <v>74</v>
      </c>
      <c r="H360" t="s">
        <v>74</v>
      </c>
      <c r="I360" t="s">
        <v>6019</v>
      </c>
      <c r="J360" t="s">
        <v>6020</v>
      </c>
      <c r="K360" t="s">
        <v>74</v>
      </c>
      <c r="L360" t="s">
        <v>74</v>
      </c>
      <c r="M360" t="s">
        <v>78</v>
      </c>
      <c r="N360" t="s">
        <v>79</v>
      </c>
      <c r="O360" t="s">
        <v>74</v>
      </c>
      <c r="P360" t="s">
        <v>74</v>
      </c>
      <c r="Q360" t="s">
        <v>74</v>
      </c>
      <c r="R360" t="s">
        <v>74</v>
      </c>
      <c r="S360" t="s">
        <v>74</v>
      </c>
      <c r="T360" t="s">
        <v>74</v>
      </c>
      <c r="U360" t="s">
        <v>6021</v>
      </c>
      <c r="V360" t="s">
        <v>6022</v>
      </c>
      <c r="W360" t="s">
        <v>6023</v>
      </c>
      <c r="X360" t="s">
        <v>6024</v>
      </c>
      <c r="Y360" t="s">
        <v>6025</v>
      </c>
      <c r="Z360" t="s">
        <v>6026</v>
      </c>
      <c r="AA360" t="s">
        <v>6027</v>
      </c>
      <c r="AB360" t="s">
        <v>6028</v>
      </c>
      <c r="AC360" t="s">
        <v>74</v>
      </c>
      <c r="AD360" t="s">
        <v>74</v>
      </c>
      <c r="AE360" t="s">
        <v>74</v>
      </c>
      <c r="AF360" t="s">
        <v>74</v>
      </c>
      <c r="AG360">
        <v>50</v>
      </c>
      <c r="AH360">
        <v>35</v>
      </c>
      <c r="AI360">
        <v>35</v>
      </c>
      <c r="AJ360">
        <v>1</v>
      </c>
      <c r="AK360">
        <v>15</v>
      </c>
      <c r="AL360" t="s">
        <v>1202</v>
      </c>
      <c r="AM360" t="s">
        <v>1203</v>
      </c>
      <c r="AN360" t="s">
        <v>1204</v>
      </c>
      <c r="AO360" t="s">
        <v>6029</v>
      </c>
      <c r="AP360" t="s">
        <v>6030</v>
      </c>
      <c r="AQ360" t="s">
        <v>74</v>
      </c>
      <c r="AR360" t="s">
        <v>6031</v>
      </c>
      <c r="AS360" t="s">
        <v>6032</v>
      </c>
      <c r="AT360" t="s">
        <v>4839</v>
      </c>
      <c r="AU360">
        <v>2007</v>
      </c>
      <c r="AV360">
        <v>130</v>
      </c>
      <c r="AW360">
        <v>2</v>
      </c>
      <c r="AX360" t="s">
        <v>74</v>
      </c>
      <c r="AY360" t="s">
        <v>74</v>
      </c>
      <c r="AZ360" t="s">
        <v>74</v>
      </c>
      <c r="BA360" t="s">
        <v>74</v>
      </c>
      <c r="BB360">
        <v>185</v>
      </c>
      <c r="BC360">
        <v>194</v>
      </c>
      <c r="BD360" t="s">
        <v>74</v>
      </c>
      <c r="BE360" t="s">
        <v>6033</v>
      </c>
      <c r="BF360" t="str">
        <f>HYPERLINK("http://dx.doi.org/10.1111/j.1399-3054.2007.00899.x","http://dx.doi.org/10.1111/j.1399-3054.2007.00899.x")</f>
        <v>http://dx.doi.org/10.1111/j.1399-3054.2007.00899.x</v>
      </c>
      <c r="BG360" t="s">
        <v>74</v>
      </c>
      <c r="BH360" t="s">
        <v>74</v>
      </c>
      <c r="BI360">
        <v>10</v>
      </c>
      <c r="BJ360" t="s">
        <v>3433</v>
      </c>
      <c r="BK360" t="s">
        <v>98</v>
      </c>
      <c r="BL360" t="s">
        <v>3433</v>
      </c>
      <c r="BM360" t="s">
        <v>6034</v>
      </c>
      <c r="BN360" t="s">
        <v>74</v>
      </c>
      <c r="BO360" t="s">
        <v>74</v>
      </c>
      <c r="BP360" t="s">
        <v>74</v>
      </c>
      <c r="BQ360" t="s">
        <v>74</v>
      </c>
      <c r="BR360" t="s">
        <v>101</v>
      </c>
      <c r="BS360" t="s">
        <v>6035</v>
      </c>
      <c r="BT360" t="str">
        <f>HYPERLINK("https%3A%2F%2Fwww.webofscience.com%2Fwos%2Fwoscc%2Ffull-record%2FWOS:000246367500002","View Full Record in Web of Science")</f>
        <v>View Full Record in Web of Science</v>
      </c>
    </row>
    <row r="361" spans="1:72" x14ac:dyDescent="0.15">
      <c r="A361" t="s">
        <v>72</v>
      </c>
      <c r="B361" t="s">
        <v>6036</v>
      </c>
      <c r="C361" t="s">
        <v>74</v>
      </c>
      <c r="D361" t="s">
        <v>74</v>
      </c>
      <c r="E361" t="s">
        <v>74</v>
      </c>
      <c r="F361" t="s">
        <v>6037</v>
      </c>
      <c r="G361" t="s">
        <v>74</v>
      </c>
      <c r="H361" t="s">
        <v>74</v>
      </c>
      <c r="I361" t="s">
        <v>6038</v>
      </c>
      <c r="J361" t="s">
        <v>2434</v>
      </c>
      <c r="K361" t="s">
        <v>74</v>
      </c>
      <c r="L361" t="s">
        <v>74</v>
      </c>
      <c r="M361" t="s">
        <v>78</v>
      </c>
      <c r="N361" t="s">
        <v>79</v>
      </c>
      <c r="O361" t="s">
        <v>74</v>
      </c>
      <c r="P361" t="s">
        <v>74</v>
      </c>
      <c r="Q361" t="s">
        <v>74</v>
      </c>
      <c r="R361" t="s">
        <v>74</v>
      </c>
      <c r="S361" t="s">
        <v>74</v>
      </c>
      <c r="T361" t="s">
        <v>74</v>
      </c>
      <c r="U361" t="s">
        <v>6039</v>
      </c>
      <c r="V361" t="s">
        <v>6040</v>
      </c>
      <c r="W361" t="s">
        <v>6041</v>
      </c>
      <c r="X361" t="s">
        <v>6042</v>
      </c>
      <c r="Y361" t="s">
        <v>6043</v>
      </c>
      <c r="Z361" t="s">
        <v>6044</v>
      </c>
      <c r="AA361" t="s">
        <v>6045</v>
      </c>
      <c r="AB361" t="s">
        <v>6046</v>
      </c>
      <c r="AC361" t="s">
        <v>74</v>
      </c>
      <c r="AD361" t="s">
        <v>74</v>
      </c>
      <c r="AE361" t="s">
        <v>74</v>
      </c>
      <c r="AF361" t="s">
        <v>74</v>
      </c>
      <c r="AG361">
        <v>48</v>
      </c>
      <c r="AH361">
        <v>31</v>
      </c>
      <c r="AI361">
        <v>33</v>
      </c>
      <c r="AJ361">
        <v>1</v>
      </c>
      <c r="AK361">
        <v>14</v>
      </c>
      <c r="AL361" t="s">
        <v>1592</v>
      </c>
      <c r="AM361" t="s">
        <v>1593</v>
      </c>
      <c r="AN361" t="s">
        <v>1594</v>
      </c>
      <c r="AO361" t="s">
        <v>2442</v>
      </c>
      <c r="AP361" t="s">
        <v>2443</v>
      </c>
      <c r="AQ361" t="s">
        <v>74</v>
      </c>
      <c r="AR361" t="s">
        <v>2444</v>
      </c>
      <c r="AS361" t="s">
        <v>2445</v>
      </c>
      <c r="AT361" t="s">
        <v>4839</v>
      </c>
      <c r="AU361">
        <v>2007</v>
      </c>
      <c r="AV361">
        <v>30</v>
      </c>
      <c r="AW361">
        <v>7</v>
      </c>
      <c r="AX361" t="s">
        <v>74</v>
      </c>
      <c r="AY361" t="s">
        <v>74</v>
      </c>
      <c r="AZ361" t="s">
        <v>74</v>
      </c>
      <c r="BA361" t="s">
        <v>74</v>
      </c>
      <c r="BB361">
        <v>809</v>
      </c>
      <c r="BC361">
        <v>815</v>
      </c>
      <c r="BD361" t="s">
        <v>74</v>
      </c>
      <c r="BE361" t="s">
        <v>6047</v>
      </c>
      <c r="BF361" t="str">
        <f>HYPERLINK("http://dx.doi.org/10.1007/s00300-006-0241-3","http://dx.doi.org/10.1007/s00300-006-0241-3")</f>
        <v>http://dx.doi.org/10.1007/s00300-006-0241-3</v>
      </c>
      <c r="BG361" t="s">
        <v>74</v>
      </c>
      <c r="BH361" t="s">
        <v>74</v>
      </c>
      <c r="BI361">
        <v>7</v>
      </c>
      <c r="BJ361" t="s">
        <v>97</v>
      </c>
      <c r="BK361" t="s">
        <v>98</v>
      </c>
      <c r="BL361" t="s">
        <v>99</v>
      </c>
      <c r="BM361" t="s">
        <v>6048</v>
      </c>
      <c r="BN361" t="s">
        <v>74</v>
      </c>
      <c r="BO361" t="s">
        <v>74</v>
      </c>
      <c r="BP361" t="s">
        <v>74</v>
      </c>
      <c r="BQ361" t="s">
        <v>74</v>
      </c>
      <c r="BR361" t="s">
        <v>101</v>
      </c>
      <c r="BS361" t="s">
        <v>6049</v>
      </c>
      <c r="BT361" t="str">
        <f>HYPERLINK("https%3A%2F%2Fwww.webofscience.com%2Fwos%2Fwoscc%2Ffull-record%2FWOS:000246391400001","View Full Record in Web of Science")</f>
        <v>View Full Record in Web of Science</v>
      </c>
    </row>
    <row r="362" spans="1:72" x14ac:dyDescent="0.15">
      <c r="A362" t="s">
        <v>72</v>
      </c>
      <c r="B362" t="s">
        <v>6050</v>
      </c>
      <c r="C362" t="s">
        <v>74</v>
      </c>
      <c r="D362" t="s">
        <v>74</v>
      </c>
      <c r="E362" t="s">
        <v>74</v>
      </c>
      <c r="F362" t="s">
        <v>6051</v>
      </c>
      <c r="G362" t="s">
        <v>74</v>
      </c>
      <c r="H362" t="s">
        <v>74</v>
      </c>
      <c r="I362" t="s">
        <v>6052</v>
      </c>
      <c r="J362" t="s">
        <v>2434</v>
      </c>
      <c r="K362" t="s">
        <v>74</v>
      </c>
      <c r="L362" t="s">
        <v>74</v>
      </c>
      <c r="M362" t="s">
        <v>78</v>
      </c>
      <c r="N362" t="s">
        <v>79</v>
      </c>
      <c r="O362" t="s">
        <v>74</v>
      </c>
      <c r="P362" t="s">
        <v>74</v>
      </c>
      <c r="Q362" t="s">
        <v>74</v>
      </c>
      <c r="R362" t="s">
        <v>74</v>
      </c>
      <c r="S362" t="s">
        <v>74</v>
      </c>
      <c r="T362" t="s">
        <v>6053</v>
      </c>
      <c r="U362" t="s">
        <v>6054</v>
      </c>
      <c r="V362" t="s">
        <v>6055</v>
      </c>
      <c r="W362" t="s">
        <v>6056</v>
      </c>
      <c r="X362" t="s">
        <v>6057</v>
      </c>
      <c r="Y362" t="s">
        <v>6058</v>
      </c>
      <c r="Z362" t="s">
        <v>6059</v>
      </c>
      <c r="AA362" t="s">
        <v>74</v>
      </c>
      <c r="AB362" t="s">
        <v>74</v>
      </c>
      <c r="AC362" t="s">
        <v>74</v>
      </c>
      <c r="AD362" t="s">
        <v>74</v>
      </c>
      <c r="AE362" t="s">
        <v>74</v>
      </c>
      <c r="AF362" t="s">
        <v>74</v>
      </c>
      <c r="AG362">
        <v>38</v>
      </c>
      <c r="AH362">
        <v>28</v>
      </c>
      <c r="AI362">
        <v>35</v>
      </c>
      <c r="AJ362">
        <v>0</v>
      </c>
      <c r="AK362">
        <v>18</v>
      </c>
      <c r="AL362" t="s">
        <v>1592</v>
      </c>
      <c r="AM362" t="s">
        <v>1593</v>
      </c>
      <c r="AN362" t="s">
        <v>2512</v>
      </c>
      <c r="AO362" t="s">
        <v>2442</v>
      </c>
      <c r="AP362" t="s">
        <v>74</v>
      </c>
      <c r="AQ362" t="s">
        <v>74</v>
      </c>
      <c r="AR362" t="s">
        <v>2444</v>
      </c>
      <c r="AS362" t="s">
        <v>2445</v>
      </c>
      <c r="AT362" t="s">
        <v>4839</v>
      </c>
      <c r="AU362">
        <v>2007</v>
      </c>
      <c r="AV362">
        <v>30</v>
      </c>
      <c r="AW362">
        <v>7</v>
      </c>
      <c r="AX362" t="s">
        <v>74</v>
      </c>
      <c r="AY362" t="s">
        <v>74</v>
      </c>
      <c r="AZ362" t="s">
        <v>74</v>
      </c>
      <c r="BA362" t="s">
        <v>74</v>
      </c>
      <c r="BB362">
        <v>829</v>
      </c>
      <c r="BC362">
        <v>841</v>
      </c>
      <c r="BD362" t="s">
        <v>74</v>
      </c>
      <c r="BE362" t="s">
        <v>6060</v>
      </c>
      <c r="BF362" t="str">
        <f>HYPERLINK("http://dx.doi.org/10.1007/s00300-006-0243-1","http://dx.doi.org/10.1007/s00300-006-0243-1")</f>
        <v>http://dx.doi.org/10.1007/s00300-006-0243-1</v>
      </c>
      <c r="BG362" t="s">
        <v>74</v>
      </c>
      <c r="BH362" t="s">
        <v>74</v>
      </c>
      <c r="BI362">
        <v>13</v>
      </c>
      <c r="BJ362" t="s">
        <v>97</v>
      </c>
      <c r="BK362" t="s">
        <v>98</v>
      </c>
      <c r="BL362" t="s">
        <v>99</v>
      </c>
      <c r="BM362" t="s">
        <v>6048</v>
      </c>
      <c r="BN362" t="s">
        <v>74</v>
      </c>
      <c r="BO362" t="s">
        <v>74</v>
      </c>
      <c r="BP362" t="s">
        <v>74</v>
      </c>
      <c r="BQ362" t="s">
        <v>74</v>
      </c>
      <c r="BR362" t="s">
        <v>101</v>
      </c>
      <c r="BS362" t="s">
        <v>6061</v>
      </c>
      <c r="BT362" t="str">
        <f>HYPERLINK("https%3A%2F%2Fwww.webofscience.com%2Fwos%2Fwoscc%2Ffull-record%2FWOS:000246391400003","View Full Record in Web of Science")</f>
        <v>View Full Record in Web of Science</v>
      </c>
    </row>
    <row r="363" spans="1:72" x14ac:dyDescent="0.15">
      <c r="A363" t="s">
        <v>72</v>
      </c>
      <c r="B363" t="s">
        <v>6062</v>
      </c>
      <c r="C363" t="s">
        <v>74</v>
      </c>
      <c r="D363" t="s">
        <v>74</v>
      </c>
      <c r="E363" t="s">
        <v>74</v>
      </c>
      <c r="F363" t="s">
        <v>6063</v>
      </c>
      <c r="G363" t="s">
        <v>74</v>
      </c>
      <c r="H363" t="s">
        <v>74</v>
      </c>
      <c r="I363" t="s">
        <v>6064</v>
      </c>
      <c r="J363" t="s">
        <v>2434</v>
      </c>
      <c r="K363" t="s">
        <v>74</v>
      </c>
      <c r="L363" t="s">
        <v>74</v>
      </c>
      <c r="M363" t="s">
        <v>78</v>
      </c>
      <c r="N363" t="s">
        <v>79</v>
      </c>
      <c r="O363" t="s">
        <v>74</v>
      </c>
      <c r="P363" t="s">
        <v>74</v>
      </c>
      <c r="Q363" t="s">
        <v>74</v>
      </c>
      <c r="R363" t="s">
        <v>74</v>
      </c>
      <c r="S363" t="s">
        <v>74</v>
      </c>
      <c r="T363" t="s">
        <v>74</v>
      </c>
      <c r="U363" t="s">
        <v>6065</v>
      </c>
      <c r="V363" t="s">
        <v>6066</v>
      </c>
      <c r="W363" t="s">
        <v>6067</v>
      </c>
      <c r="X363" t="s">
        <v>6068</v>
      </c>
      <c r="Y363" t="s">
        <v>6069</v>
      </c>
      <c r="Z363" t="s">
        <v>6070</v>
      </c>
      <c r="AA363" t="s">
        <v>6071</v>
      </c>
      <c r="AB363" t="s">
        <v>6072</v>
      </c>
      <c r="AC363" t="s">
        <v>74</v>
      </c>
      <c r="AD363" t="s">
        <v>74</v>
      </c>
      <c r="AE363" t="s">
        <v>74</v>
      </c>
      <c r="AF363" t="s">
        <v>74</v>
      </c>
      <c r="AG363">
        <v>37</v>
      </c>
      <c r="AH363">
        <v>11</v>
      </c>
      <c r="AI363">
        <v>12</v>
      </c>
      <c r="AJ363">
        <v>0</v>
      </c>
      <c r="AK363">
        <v>4</v>
      </c>
      <c r="AL363" t="s">
        <v>1592</v>
      </c>
      <c r="AM363" t="s">
        <v>1593</v>
      </c>
      <c r="AN363" t="s">
        <v>1594</v>
      </c>
      <c r="AO363" t="s">
        <v>2442</v>
      </c>
      <c r="AP363" t="s">
        <v>2443</v>
      </c>
      <c r="AQ363" t="s">
        <v>74</v>
      </c>
      <c r="AR363" t="s">
        <v>2444</v>
      </c>
      <c r="AS363" t="s">
        <v>2445</v>
      </c>
      <c r="AT363" t="s">
        <v>4839</v>
      </c>
      <c r="AU363">
        <v>2007</v>
      </c>
      <c r="AV363">
        <v>30</v>
      </c>
      <c r="AW363">
        <v>7</v>
      </c>
      <c r="AX363" t="s">
        <v>74</v>
      </c>
      <c r="AY363" t="s">
        <v>74</v>
      </c>
      <c r="AZ363" t="s">
        <v>74</v>
      </c>
      <c r="BA363" t="s">
        <v>74</v>
      </c>
      <c r="BB363">
        <v>843</v>
      </c>
      <c r="BC363">
        <v>848</v>
      </c>
      <c r="BD363" t="s">
        <v>74</v>
      </c>
      <c r="BE363" t="s">
        <v>6073</v>
      </c>
      <c r="BF363" t="str">
        <f>HYPERLINK("http://dx.doi.org/10.1007/s00300-006-0244-0","http://dx.doi.org/10.1007/s00300-006-0244-0")</f>
        <v>http://dx.doi.org/10.1007/s00300-006-0244-0</v>
      </c>
      <c r="BG363" t="s">
        <v>74</v>
      </c>
      <c r="BH363" t="s">
        <v>74</v>
      </c>
      <c r="BI363">
        <v>6</v>
      </c>
      <c r="BJ363" t="s">
        <v>97</v>
      </c>
      <c r="BK363" t="s">
        <v>98</v>
      </c>
      <c r="BL363" t="s">
        <v>99</v>
      </c>
      <c r="BM363" t="s">
        <v>6048</v>
      </c>
      <c r="BN363" t="s">
        <v>74</v>
      </c>
      <c r="BO363" t="s">
        <v>1249</v>
      </c>
      <c r="BP363" t="s">
        <v>74</v>
      </c>
      <c r="BQ363" t="s">
        <v>74</v>
      </c>
      <c r="BR363" t="s">
        <v>101</v>
      </c>
      <c r="BS363" t="s">
        <v>6074</v>
      </c>
      <c r="BT363" t="str">
        <f>HYPERLINK("https%3A%2F%2Fwww.webofscience.com%2Fwos%2Fwoscc%2Ffull-record%2FWOS:000246391400004","View Full Record in Web of Science")</f>
        <v>View Full Record in Web of Science</v>
      </c>
    </row>
    <row r="364" spans="1:72" x14ac:dyDescent="0.15">
      <c r="A364" t="s">
        <v>72</v>
      </c>
      <c r="B364" t="s">
        <v>6075</v>
      </c>
      <c r="C364" t="s">
        <v>74</v>
      </c>
      <c r="D364" t="s">
        <v>74</v>
      </c>
      <c r="E364" t="s">
        <v>74</v>
      </c>
      <c r="F364" t="s">
        <v>6076</v>
      </c>
      <c r="G364" t="s">
        <v>74</v>
      </c>
      <c r="H364" t="s">
        <v>74</v>
      </c>
      <c r="I364" t="s">
        <v>6077</v>
      </c>
      <c r="J364" t="s">
        <v>2434</v>
      </c>
      <c r="K364" t="s">
        <v>74</v>
      </c>
      <c r="L364" t="s">
        <v>74</v>
      </c>
      <c r="M364" t="s">
        <v>78</v>
      </c>
      <c r="N364" t="s">
        <v>79</v>
      </c>
      <c r="O364" t="s">
        <v>74</v>
      </c>
      <c r="P364" t="s">
        <v>74</v>
      </c>
      <c r="Q364" t="s">
        <v>74</v>
      </c>
      <c r="R364" t="s">
        <v>74</v>
      </c>
      <c r="S364" t="s">
        <v>74</v>
      </c>
      <c r="T364" t="s">
        <v>6078</v>
      </c>
      <c r="U364" t="s">
        <v>6079</v>
      </c>
      <c r="V364" t="s">
        <v>6080</v>
      </c>
      <c r="W364" t="s">
        <v>6081</v>
      </c>
      <c r="X364" t="s">
        <v>6082</v>
      </c>
      <c r="Y364" t="s">
        <v>6083</v>
      </c>
      <c r="Z364" t="s">
        <v>6084</v>
      </c>
      <c r="AA364" t="s">
        <v>6085</v>
      </c>
      <c r="AB364" t="s">
        <v>74</v>
      </c>
      <c r="AC364" t="s">
        <v>74</v>
      </c>
      <c r="AD364" t="s">
        <v>74</v>
      </c>
      <c r="AE364" t="s">
        <v>74</v>
      </c>
      <c r="AF364" t="s">
        <v>74</v>
      </c>
      <c r="AG364">
        <v>51</v>
      </c>
      <c r="AH364">
        <v>34</v>
      </c>
      <c r="AI364">
        <v>35</v>
      </c>
      <c r="AJ364">
        <v>0</v>
      </c>
      <c r="AK364">
        <v>10</v>
      </c>
      <c r="AL364" t="s">
        <v>1592</v>
      </c>
      <c r="AM364" t="s">
        <v>1593</v>
      </c>
      <c r="AN364" t="s">
        <v>2512</v>
      </c>
      <c r="AO364" t="s">
        <v>2442</v>
      </c>
      <c r="AP364" t="s">
        <v>74</v>
      </c>
      <c r="AQ364" t="s">
        <v>74</v>
      </c>
      <c r="AR364" t="s">
        <v>2444</v>
      </c>
      <c r="AS364" t="s">
        <v>2445</v>
      </c>
      <c r="AT364" t="s">
        <v>4839</v>
      </c>
      <c r="AU364">
        <v>2007</v>
      </c>
      <c r="AV364">
        <v>30</v>
      </c>
      <c r="AW364">
        <v>7</v>
      </c>
      <c r="AX364" t="s">
        <v>74</v>
      </c>
      <c r="AY364" t="s">
        <v>74</v>
      </c>
      <c r="AZ364" t="s">
        <v>74</v>
      </c>
      <c r="BA364" t="s">
        <v>74</v>
      </c>
      <c r="BB364">
        <v>871</v>
      </c>
      <c r="BC364">
        <v>881</v>
      </c>
      <c r="BD364" t="s">
        <v>74</v>
      </c>
      <c r="BE364" t="s">
        <v>6086</v>
      </c>
      <c r="BF364" t="str">
        <f>HYPERLINK("http://dx.doi.org/10.1007/s00300-006-0247-x","http://dx.doi.org/10.1007/s00300-006-0247-x")</f>
        <v>http://dx.doi.org/10.1007/s00300-006-0247-x</v>
      </c>
      <c r="BG364" t="s">
        <v>74</v>
      </c>
      <c r="BH364" t="s">
        <v>74</v>
      </c>
      <c r="BI364">
        <v>11</v>
      </c>
      <c r="BJ364" t="s">
        <v>97</v>
      </c>
      <c r="BK364" t="s">
        <v>98</v>
      </c>
      <c r="BL364" t="s">
        <v>99</v>
      </c>
      <c r="BM364" t="s">
        <v>6048</v>
      </c>
      <c r="BN364" t="s">
        <v>74</v>
      </c>
      <c r="BO364" t="s">
        <v>3217</v>
      </c>
      <c r="BP364" t="s">
        <v>74</v>
      </c>
      <c r="BQ364" t="s">
        <v>74</v>
      </c>
      <c r="BR364" t="s">
        <v>101</v>
      </c>
      <c r="BS364" t="s">
        <v>6087</v>
      </c>
      <c r="BT364" t="str">
        <f>HYPERLINK("https%3A%2F%2Fwww.webofscience.com%2Fwos%2Fwoscc%2Ffull-record%2FWOS:000246391400007","View Full Record in Web of Science")</f>
        <v>View Full Record in Web of Science</v>
      </c>
    </row>
    <row r="365" spans="1:72" x14ac:dyDescent="0.15">
      <c r="A365" t="s">
        <v>72</v>
      </c>
      <c r="B365" t="s">
        <v>6088</v>
      </c>
      <c r="C365" t="s">
        <v>74</v>
      </c>
      <c r="D365" t="s">
        <v>74</v>
      </c>
      <c r="E365" t="s">
        <v>74</v>
      </c>
      <c r="F365" t="s">
        <v>6089</v>
      </c>
      <c r="G365" t="s">
        <v>74</v>
      </c>
      <c r="H365" t="s">
        <v>74</v>
      </c>
      <c r="I365" t="s">
        <v>6090</v>
      </c>
      <c r="J365" t="s">
        <v>2434</v>
      </c>
      <c r="K365" t="s">
        <v>74</v>
      </c>
      <c r="L365" t="s">
        <v>74</v>
      </c>
      <c r="M365" t="s">
        <v>78</v>
      </c>
      <c r="N365" t="s">
        <v>79</v>
      </c>
      <c r="O365" t="s">
        <v>74</v>
      </c>
      <c r="P365" t="s">
        <v>74</v>
      </c>
      <c r="Q365" t="s">
        <v>74</v>
      </c>
      <c r="R365" t="s">
        <v>74</v>
      </c>
      <c r="S365" t="s">
        <v>74</v>
      </c>
      <c r="T365" t="s">
        <v>6091</v>
      </c>
      <c r="U365" t="s">
        <v>6092</v>
      </c>
      <c r="V365" t="s">
        <v>6093</v>
      </c>
      <c r="W365" t="s">
        <v>6094</v>
      </c>
      <c r="X365" t="s">
        <v>6095</v>
      </c>
      <c r="Y365" t="s">
        <v>6096</v>
      </c>
      <c r="Z365" t="s">
        <v>6097</v>
      </c>
      <c r="AA365" t="s">
        <v>6098</v>
      </c>
      <c r="AB365" t="s">
        <v>6099</v>
      </c>
      <c r="AC365" t="s">
        <v>6100</v>
      </c>
      <c r="AD365" t="s">
        <v>426</v>
      </c>
      <c r="AE365" t="s">
        <v>74</v>
      </c>
      <c r="AF365" t="s">
        <v>74</v>
      </c>
      <c r="AG365">
        <v>25</v>
      </c>
      <c r="AH365">
        <v>33</v>
      </c>
      <c r="AI365">
        <v>36</v>
      </c>
      <c r="AJ365">
        <v>0</v>
      </c>
      <c r="AK365">
        <v>8</v>
      </c>
      <c r="AL365" t="s">
        <v>1592</v>
      </c>
      <c r="AM365" t="s">
        <v>1593</v>
      </c>
      <c r="AN365" t="s">
        <v>1594</v>
      </c>
      <c r="AO365" t="s">
        <v>2442</v>
      </c>
      <c r="AP365" t="s">
        <v>2443</v>
      </c>
      <c r="AQ365" t="s">
        <v>74</v>
      </c>
      <c r="AR365" t="s">
        <v>2444</v>
      </c>
      <c r="AS365" t="s">
        <v>2445</v>
      </c>
      <c r="AT365" t="s">
        <v>4839</v>
      </c>
      <c r="AU365">
        <v>2007</v>
      </c>
      <c r="AV365">
        <v>30</v>
      </c>
      <c r="AW365">
        <v>7</v>
      </c>
      <c r="AX365" t="s">
        <v>74</v>
      </c>
      <c r="AY365" t="s">
        <v>74</v>
      </c>
      <c r="AZ365" t="s">
        <v>74</v>
      </c>
      <c r="BA365" t="s">
        <v>74</v>
      </c>
      <c r="BB365">
        <v>883</v>
      </c>
      <c r="BC365">
        <v>893</v>
      </c>
      <c r="BD365" t="s">
        <v>74</v>
      </c>
      <c r="BE365" t="s">
        <v>6101</v>
      </c>
      <c r="BF365" t="str">
        <f>HYPERLINK("http://dx.doi.org/10.1007/s00300-006-0248-9","http://dx.doi.org/10.1007/s00300-006-0248-9")</f>
        <v>http://dx.doi.org/10.1007/s00300-006-0248-9</v>
      </c>
      <c r="BG365" t="s">
        <v>74</v>
      </c>
      <c r="BH365" t="s">
        <v>74</v>
      </c>
      <c r="BI365">
        <v>11</v>
      </c>
      <c r="BJ365" t="s">
        <v>97</v>
      </c>
      <c r="BK365" t="s">
        <v>98</v>
      </c>
      <c r="BL365" t="s">
        <v>99</v>
      </c>
      <c r="BM365" t="s">
        <v>6048</v>
      </c>
      <c r="BN365" t="s">
        <v>74</v>
      </c>
      <c r="BO365" t="s">
        <v>74</v>
      </c>
      <c r="BP365" t="s">
        <v>74</v>
      </c>
      <c r="BQ365" t="s">
        <v>74</v>
      </c>
      <c r="BR365" t="s">
        <v>101</v>
      </c>
      <c r="BS365" t="s">
        <v>6102</v>
      </c>
      <c r="BT365" t="str">
        <f>HYPERLINK("https%3A%2F%2Fwww.webofscience.com%2Fwos%2Fwoscc%2Ffull-record%2FWOS:000246391400008","View Full Record in Web of Science")</f>
        <v>View Full Record in Web of Science</v>
      </c>
    </row>
    <row r="366" spans="1:72" x14ac:dyDescent="0.15">
      <c r="A366" t="s">
        <v>72</v>
      </c>
      <c r="B366" t="s">
        <v>6103</v>
      </c>
      <c r="C366" t="s">
        <v>74</v>
      </c>
      <c r="D366" t="s">
        <v>74</v>
      </c>
      <c r="E366" t="s">
        <v>74</v>
      </c>
      <c r="F366" t="s">
        <v>6104</v>
      </c>
      <c r="G366" t="s">
        <v>74</v>
      </c>
      <c r="H366" t="s">
        <v>74</v>
      </c>
      <c r="I366" t="s">
        <v>6105</v>
      </c>
      <c r="J366" t="s">
        <v>2434</v>
      </c>
      <c r="K366" t="s">
        <v>74</v>
      </c>
      <c r="L366" t="s">
        <v>74</v>
      </c>
      <c r="M366" t="s">
        <v>78</v>
      </c>
      <c r="N366" t="s">
        <v>79</v>
      </c>
      <c r="O366" t="s">
        <v>74</v>
      </c>
      <c r="P366" t="s">
        <v>74</v>
      </c>
      <c r="Q366" t="s">
        <v>74</v>
      </c>
      <c r="R366" t="s">
        <v>74</v>
      </c>
      <c r="S366" t="s">
        <v>74</v>
      </c>
      <c r="T366" t="s">
        <v>74</v>
      </c>
      <c r="U366" t="s">
        <v>6106</v>
      </c>
      <c r="V366" t="s">
        <v>6107</v>
      </c>
      <c r="W366" t="s">
        <v>6108</v>
      </c>
      <c r="X366" t="s">
        <v>6109</v>
      </c>
      <c r="Y366" t="s">
        <v>6110</v>
      </c>
      <c r="Z366" t="s">
        <v>6111</v>
      </c>
      <c r="AA366" t="s">
        <v>74</v>
      </c>
      <c r="AB366" t="s">
        <v>74</v>
      </c>
      <c r="AC366" t="s">
        <v>74</v>
      </c>
      <c r="AD366" t="s">
        <v>74</v>
      </c>
      <c r="AE366" t="s">
        <v>74</v>
      </c>
      <c r="AF366" t="s">
        <v>74</v>
      </c>
      <c r="AG366">
        <v>37</v>
      </c>
      <c r="AH366">
        <v>45</v>
      </c>
      <c r="AI366">
        <v>50</v>
      </c>
      <c r="AJ366">
        <v>0</v>
      </c>
      <c r="AK366">
        <v>23</v>
      </c>
      <c r="AL366" t="s">
        <v>1592</v>
      </c>
      <c r="AM366" t="s">
        <v>1593</v>
      </c>
      <c r="AN366" t="s">
        <v>2406</v>
      </c>
      <c r="AO366" t="s">
        <v>2442</v>
      </c>
      <c r="AP366" t="s">
        <v>2443</v>
      </c>
      <c r="AQ366" t="s">
        <v>74</v>
      </c>
      <c r="AR366" t="s">
        <v>2444</v>
      </c>
      <c r="AS366" t="s">
        <v>2445</v>
      </c>
      <c r="AT366" t="s">
        <v>4839</v>
      </c>
      <c r="AU366">
        <v>2007</v>
      </c>
      <c r="AV366">
        <v>30</v>
      </c>
      <c r="AW366">
        <v>7</v>
      </c>
      <c r="AX366" t="s">
        <v>74</v>
      </c>
      <c r="AY366" t="s">
        <v>74</v>
      </c>
      <c r="AZ366" t="s">
        <v>74</v>
      </c>
      <c r="BA366" t="s">
        <v>74</v>
      </c>
      <c r="BB366">
        <v>903</v>
      </c>
      <c r="BC366">
        <v>916</v>
      </c>
      <c r="BD366" t="s">
        <v>74</v>
      </c>
      <c r="BE366" t="s">
        <v>6112</v>
      </c>
      <c r="BF366" t="str">
        <f>HYPERLINK("http://dx.doi.org/10.1007/s00300-006-0250-2","http://dx.doi.org/10.1007/s00300-006-0250-2")</f>
        <v>http://dx.doi.org/10.1007/s00300-006-0250-2</v>
      </c>
      <c r="BG366" t="s">
        <v>74</v>
      </c>
      <c r="BH366" t="s">
        <v>74</v>
      </c>
      <c r="BI366">
        <v>14</v>
      </c>
      <c r="BJ366" t="s">
        <v>97</v>
      </c>
      <c r="BK366" t="s">
        <v>98</v>
      </c>
      <c r="BL366" t="s">
        <v>99</v>
      </c>
      <c r="BM366" t="s">
        <v>6048</v>
      </c>
      <c r="BN366" t="s">
        <v>74</v>
      </c>
      <c r="BO366" t="s">
        <v>74</v>
      </c>
      <c r="BP366" t="s">
        <v>74</v>
      </c>
      <c r="BQ366" t="s">
        <v>74</v>
      </c>
      <c r="BR366" t="s">
        <v>101</v>
      </c>
      <c r="BS366" t="s">
        <v>6113</v>
      </c>
      <c r="BT366" t="str">
        <f>HYPERLINK("https%3A%2F%2Fwww.webofscience.com%2Fwos%2Fwoscc%2Ffull-record%2FWOS:000246391400010","View Full Record in Web of Science")</f>
        <v>View Full Record in Web of Science</v>
      </c>
    </row>
    <row r="367" spans="1:72" x14ac:dyDescent="0.15">
      <c r="A367" t="s">
        <v>72</v>
      </c>
      <c r="B367" t="s">
        <v>6114</v>
      </c>
      <c r="C367" t="s">
        <v>74</v>
      </c>
      <c r="D367" t="s">
        <v>74</v>
      </c>
      <c r="E367" t="s">
        <v>74</v>
      </c>
      <c r="F367" t="s">
        <v>6115</v>
      </c>
      <c r="G367" t="s">
        <v>74</v>
      </c>
      <c r="H367" t="s">
        <v>74</v>
      </c>
      <c r="I367" t="s">
        <v>6116</v>
      </c>
      <c r="J367" t="s">
        <v>2434</v>
      </c>
      <c r="K367" t="s">
        <v>74</v>
      </c>
      <c r="L367" t="s">
        <v>74</v>
      </c>
      <c r="M367" t="s">
        <v>78</v>
      </c>
      <c r="N367" t="s">
        <v>79</v>
      </c>
      <c r="O367" t="s">
        <v>74</v>
      </c>
      <c r="P367" t="s">
        <v>74</v>
      </c>
      <c r="Q367" t="s">
        <v>74</v>
      </c>
      <c r="R367" t="s">
        <v>74</v>
      </c>
      <c r="S367" t="s">
        <v>74</v>
      </c>
      <c r="T367" t="s">
        <v>6117</v>
      </c>
      <c r="U367" t="s">
        <v>6118</v>
      </c>
      <c r="V367" t="s">
        <v>6119</v>
      </c>
      <c r="W367" t="s">
        <v>6120</v>
      </c>
      <c r="X367" t="s">
        <v>6121</v>
      </c>
      <c r="Y367" t="s">
        <v>6122</v>
      </c>
      <c r="Z367" t="s">
        <v>6123</v>
      </c>
      <c r="AA367" t="s">
        <v>74</v>
      </c>
      <c r="AB367" t="s">
        <v>74</v>
      </c>
      <c r="AC367" t="s">
        <v>74</v>
      </c>
      <c r="AD367" t="s">
        <v>74</v>
      </c>
      <c r="AE367" t="s">
        <v>74</v>
      </c>
      <c r="AF367" t="s">
        <v>74</v>
      </c>
      <c r="AG367">
        <v>32</v>
      </c>
      <c r="AH367">
        <v>30</v>
      </c>
      <c r="AI367">
        <v>33</v>
      </c>
      <c r="AJ367">
        <v>0</v>
      </c>
      <c r="AK367">
        <v>23</v>
      </c>
      <c r="AL367" t="s">
        <v>1592</v>
      </c>
      <c r="AM367" t="s">
        <v>1593</v>
      </c>
      <c r="AN367" t="s">
        <v>2512</v>
      </c>
      <c r="AO367" t="s">
        <v>2442</v>
      </c>
      <c r="AP367" t="s">
        <v>74</v>
      </c>
      <c r="AQ367" t="s">
        <v>74</v>
      </c>
      <c r="AR367" t="s">
        <v>2444</v>
      </c>
      <c r="AS367" t="s">
        <v>2445</v>
      </c>
      <c r="AT367" t="s">
        <v>4839</v>
      </c>
      <c r="AU367">
        <v>2007</v>
      </c>
      <c r="AV367">
        <v>30</v>
      </c>
      <c r="AW367">
        <v>7</v>
      </c>
      <c r="AX367" t="s">
        <v>74</v>
      </c>
      <c r="AY367" t="s">
        <v>74</v>
      </c>
      <c r="AZ367" t="s">
        <v>74</v>
      </c>
      <c r="BA367" t="s">
        <v>74</v>
      </c>
      <c r="BB367">
        <v>917</v>
      </c>
      <c r="BC367">
        <v>924</v>
      </c>
      <c r="BD367" t="s">
        <v>74</v>
      </c>
      <c r="BE367" t="s">
        <v>6124</v>
      </c>
      <c r="BF367" t="str">
        <f>HYPERLINK("http://dx.doi.org/10.1007/s00300-006-0251-1","http://dx.doi.org/10.1007/s00300-006-0251-1")</f>
        <v>http://dx.doi.org/10.1007/s00300-006-0251-1</v>
      </c>
      <c r="BG367" t="s">
        <v>74</v>
      </c>
      <c r="BH367" t="s">
        <v>74</v>
      </c>
      <c r="BI367">
        <v>8</v>
      </c>
      <c r="BJ367" t="s">
        <v>97</v>
      </c>
      <c r="BK367" t="s">
        <v>98</v>
      </c>
      <c r="BL367" t="s">
        <v>99</v>
      </c>
      <c r="BM367" t="s">
        <v>6048</v>
      </c>
      <c r="BN367" t="s">
        <v>74</v>
      </c>
      <c r="BO367" t="s">
        <v>74</v>
      </c>
      <c r="BP367" t="s">
        <v>74</v>
      </c>
      <c r="BQ367" t="s">
        <v>74</v>
      </c>
      <c r="BR367" t="s">
        <v>101</v>
      </c>
      <c r="BS367" t="s">
        <v>6125</v>
      </c>
      <c r="BT367" t="str">
        <f>HYPERLINK("https%3A%2F%2Fwww.webofscience.com%2Fwos%2Fwoscc%2Ffull-record%2FWOS:000246391400011","View Full Record in Web of Science")</f>
        <v>View Full Record in Web of Science</v>
      </c>
    </row>
    <row r="368" spans="1:72" x14ac:dyDescent="0.15">
      <c r="A368" t="s">
        <v>72</v>
      </c>
      <c r="B368" t="s">
        <v>6126</v>
      </c>
      <c r="C368" t="s">
        <v>74</v>
      </c>
      <c r="D368" t="s">
        <v>74</v>
      </c>
      <c r="E368" t="s">
        <v>74</v>
      </c>
      <c r="F368" t="s">
        <v>6127</v>
      </c>
      <c r="G368" t="s">
        <v>74</v>
      </c>
      <c r="H368" t="s">
        <v>74</v>
      </c>
      <c r="I368" t="s">
        <v>6128</v>
      </c>
      <c r="J368" t="s">
        <v>2434</v>
      </c>
      <c r="K368" t="s">
        <v>74</v>
      </c>
      <c r="L368" t="s">
        <v>74</v>
      </c>
      <c r="M368" t="s">
        <v>78</v>
      </c>
      <c r="N368" t="s">
        <v>79</v>
      </c>
      <c r="O368" t="s">
        <v>74</v>
      </c>
      <c r="P368" t="s">
        <v>74</v>
      </c>
      <c r="Q368" t="s">
        <v>74</v>
      </c>
      <c r="R368" t="s">
        <v>74</v>
      </c>
      <c r="S368" t="s">
        <v>74</v>
      </c>
      <c r="T368" t="s">
        <v>6129</v>
      </c>
      <c r="U368" t="s">
        <v>6130</v>
      </c>
      <c r="V368" t="s">
        <v>6131</v>
      </c>
      <c r="W368" t="s">
        <v>6132</v>
      </c>
      <c r="X368" t="s">
        <v>6133</v>
      </c>
      <c r="Y368" t="s">
        <v>6134</v>
      </c>
      <c r="Z368" t="s">
        <v>6135</v>
      </c>
      <c r="AA368" t="s">
        <v>6136</v>
      </c>
      <c r="AB368" t="s">
        <v>6137</v>
      </c>
      <c r="AC368" t="s">
        <v>74</v>
      </c>
      <c r="AD368" t="s">
        <v>74</v>
      </c>
      <c r="AE368" t="s">
        <v>74</v>
      </c>
      <c r="AF368" t="s">
        <v>74</v>
      </c>
      <c r="AG368">
        <v>35</v>
      </c>
      <c r="AH368">
        <v>12</v>
      </c>
      <c r="AI368">
        <v>15</v>
      </c>
      <c r="AJ368">
        <v>0</v>
      </c>
      <c r="AK368">
        <v>16</v>
      </c>
      <c r="AL368" t="s">
        <v>1592</v>
      </c>
      <c r="AM368" t="s">
        <v>1593</v>
      </c>
      <c r="AN368" t="s">
        <v>2512</v>
      </c>
      <c r="AO368" t="s">
        <v>2442</v>
      </c>
      <c r="AP368" t="s">
        <v>74</v>
      </c>
      <c r="AQ368" t="s">
        <v>74</v>
      </c>
      <c r="AR368" t="s">
        <v>2444</v>
      </c>
      <c r="AS368" t="s">
        <v>2445</v>
      </c>
      <c r="AT368" t="s">
        <v>4839</v>
      </c>
      <c r="AU368">
        <v>2007</v>
      </c>
      <c r="AV368">
        <v>30</v>
      </c>
      <c r="AW368">
        <v>7</v>
      </c>
      <c r="AX368" t="s">
        <v>74</v>
      </c>
      <c r="AY368" t="s">
        <v>74</v>
      </c>
      <c r="AZ368" t="s">
        <v>74</v>
      </c>
      <c r="BA368" t="s">
        <v>74</v>
      </c>
      <c r="BB368">
        <v>925</v>
      </c>
      <c r="BC368">
        <v>933</v>
      </c>
      <c r="BD368" t="s">
        <v>74</v>
      </c>
      <c r="BE368" t="s">
        <v>6138</v>
      </c>
      <c r="BF368" t="str">
        <f>HYPERLINK("http://dx.doi.org/10.1007/s00300-007-0252-8","http://dx.doi.org/10.1007/s00300-007-0252-8")</f>
        <v>http://dx.doi.org/10.1007/s00300-007-0252-8</v>
      </c>
      <c r="BG368" t="s">
        <v>74</v>
      </c>
      <c r="BH368" t="s">
        <v>74</v>
      </c>
      <c r="BI368">
        <v>9</v>
      </c>
      <c r="BJ368" t="s">
        <v>97</v>
      </c>
      <c r="BK368" t="s">
        <v>98</v>
      </c>
      <c r="BL368" t="s">
        <v>99</v>
      </c>
      <c r="BM368" t="s">
        <v>6048</v>
      </c>
      <c r="BN368" t="s">
        <v>74</v>
      </c>
      <c r="BO368" t="s">
        <v>74</v>
      </c>
      <c r="BP368" t="s">
        <v>74</v>
      </c>
      <c r="BQ368" t="s">
        <v>74</v>
      </c>
      <c r="BR368" t="s">
        <v>101</v>
      </c>
      <c r="BS368" t="s">
        <v>6139</v>
      </c>
      <c r="BT368" t="str">
        <f>HYPERLINK("https%3A%2F%2Fwww.webofscience.com%2Fwos%2Fwoscc%2Ffull-record%2FWOS:000246391400012","View Full Record in Web of Science")</f>
        <v>View Full Record in Web of Science</v>
      </c>
    </row>
    <row r="369" spans="1:72" x14ac:dyDescent="0.15">
      <c r="A369" t="s">
        <v>72</v>
      </c>
      <c r="B369" t="s">
        <v>6140</v>
      </c>
      <c r="C369" t="s">
        <v>74</v>
      </c>
      <c r="D369" t="s">
        <v>74</v>
      </c>
      <c r="E369" t="s">
        <v>74</v>
      </c>
      <c r="F369" t="s">
        <v>6141</v>
      </c>
      <c r="G369" t="s">
        <v>74</v>
      </c>
      <c r="H369" t="s">
        <v>74</v>
      </c>
      <c r="I369" t="s">
        <v>6142</v>
      </c>
      <c r="J369" t="s">
        <v>2434</v>
      </c>
      <c r="K369" t="s">
        <v>74</v>
      </c>
      <c r="L369" t="s">
        <v>74</v>
      </c>
      <c r="M369" t="s">
        <v>78</v>
      </c>
      <c r="N369" t="s">
        <v>79</v>
      </c>
      <c r="O369" t="s">
        <v>74</v>
      </c>
      <c r="P369" t="s">
        <v>74</v>
      </c>
      <c r="Q369" t="s">
        <v>74</v>
      </c>
      <c r="R369" t="s">
        <v>74</v>
      </c>
      <c r="S369" t="s">
        <v>74</v>
      </c>
      <c r="T369" t="s">
        <v>74</v>
      </c>
      <c r="U369" t="s">
        <v>6143</v>
      </c>
      <c r="V369" t="s">
        <v>6144</v>
      </c>
      <c r="W369" t="s">
        <v>6145</v>
      </c>
      <c r="X369" t="s">
        <v>1988</v>
      </c>
      <c r="Y369" t="s">
        <v>6146</v>
      </c>
      <c r="Z369" t="s">
        <v>6147</v>
      </c>
      <c r="AA369" t="s">
        <v>74</v>
      </c>
      <c r="AB369" t="s">
        <v>74</v>
      </c>
      <c r="AC369" t="s">
        <v>2461</v>
      </c>
      <c r="AD369" t="s">
        <v>361</v>
      </c>
      <c r="AE369" t="s">
        <v>74</v>
      </c>
      <c r="AF369" t="s">
        <v>74</v>
      </c>
      <c r="AG369">
        <v>23</v>
      </c>
      <c r="AH369">
        <v>16</v>
      </c>
      <c r="AI369">
        <v>16</v>
      </c>
      <c r="AJ369">
        <v>0</v>
      </c>
      <c r="AK369">
        <v>9</v>
      </c>
      <c r="AL369" t="s">
        <v>1592</v>
      </c>
      <c r="AM369" t="s">
        <v>1593</v>
      </c>
      <c r="AN369" t="s">
        <v>2406</v>
      </c>
      <c r="AO369" t="s">
        <v>2442</v>
      </c>
      <c r="AP369" t="s">
        <v>2443</v>
      </c>
      <c r="AQ369" t="s">
        <v>74</v>
      </c>
      <c r="AR369" t="s">
        <v>2444</v>
      </c>
      <c r="AS369" t="s">
        <v>2445</v>
      </c>
      <c r="AT369" t="s">
        <v>4839</v>
      </c>
      <c r="AU369">
        <v>2007</v>
      </c>
      <c r="AV369">
        <v>30</v>
      </c>
      <c r="AW369">
        <v>7</v>
      </c>
      <c r="AX369" t="s">
        <v>74</v>
      </c>
      <c r="AY369" t="s">
        <v>74</v>
      </c>
      <c r="AZ369" t="s">
        <v>74</v>
      </c>
      <c r="BA369" t="s">
        <v>74</v>
      </c>
      <c r="BB369">
        <v>935</v>
      </c>
      <c r="BC369">
        <v>937</v>
      </c>
      <c r="BD369" t="s">
        <v>74</v>
      </c>
      <c r="BE369" t="s">
        <v>6148</v>
      </c>
      <c r="BF369" t="str">
        <f>HYPERLINK("http://dx.doi.org/10.1007/s00300-007-0268-0","http://dx.doi.org/10.1007/s00300-007-0268-0")</f>
        <v>http://dx.doi.org/10.1007/s00300-007-0268-0</v>
      </c>
      <c r="BG369" t="s">
        <v>74</v>
      </c>
      <c r="BH369" t="s">
        <v>74</v>
      </c>
      <c r="BI369">
        <v>3</v>
      </c>
      <c r="BJ369" t="s">
        <v>97</v>
      </c>
      <c r="BK369" t="s">
        <v>98</v>
      </c>
      <c r="BL369" t="s">
        <v>99</v>
      </c>
      <c r="BM369" t="s">
        <v>6048</v>
      </c>
      <c r="BN369" t="s">
        <v>74</v>
      </c>
      <c r="BO369" t="s">
        <v>74</v>
      </c>
      <c r="BP369" t="s">
        <v>74</v>
      </c>
      <c r="BQ369" t="s">
        <v>74</v>
      </c>
      <c r="BR369" t="s">
        <v>101</v>
      </c>
      <c r="BS369" t="s">
        <v>6149</v>
      </c>
      <c r="BT369" t="str">
        <f>HYPERLINK("https%3A%2F%2Fwww.webofscience.com%2Fwos%2Fwoscc%2Ffull-record%2FWOS:000246391400013","View Full Record in Web of Science")</f>
        <v>View Full Record in Web of Science</v>
      </c>
    </row>
    <row r="370" spans="1:72" x14ac:dyDescent="0.15">
      <c r="A370" t="s">
        <v>72</v>
      </c>
      <c r="B370" t="s">
        <v>6150</v>
      </c>
      <c r="C370" t="s">
        <v>74</v>
      </c>
      <c r="D370" t="s">
        <v>74</v>
      </c>
      <c r="E370" t="s">
        <v>74</v>
      </c>
      <c r="F370" t="s">
        <v>6151</v>
      </c>
      <c r="G370" t="s">
        <v>74</v>
      </c>
      <c r="H370" t="s">
        <v>74</v>
      </c>
      <c r="I370" t="s">
        <v>6152</v>
      </c>
      <c r="J370" t="s">
        <v>2434</v>
      </c>
      <c r="K370" t="s">
        <v>74</v>
      </c>
      <c r="L370" t="s">
        <v>74</v>
      </c>
      <c r="M370" t="s">
        <v>78</v>
      </c>
      <c r="N370" t="s">
        <v>79</v>
      </c>
      <c r="O370" t="s">
        <v>74</v>
      </c>
      <c r="P370" t="s">
        <v>74</v>
      </c>
      <c r="Q370" t="s">
        <v>74</v>
      </c>
      <c r="R370" t="s">
        <v>74</v>
      </c>
      <c r="S370" t="s">
        <v>74</v>
      </c>
      <c r="T370" t="s">
        <v>6153</v>
      </c>
      <c r="U370" t="s">
        <v>6154</v>
      </c>
      <c r="V370" t="s">
        <v>6155</v>
      </c>
      <c r="W370" t="s">
        <v>6156</v>
      </c>
      <c r="X370" t="s">
        <v>6157</v>
      </c>
      <c r="Y370" t="s">
        <v>6158</v>
      </c>
      <c r="Z370" t="s">
        <v>6159</v>
      </c>
      <c r="AA370" t="s">
        <v>6160</v>
      </c>
      <c r="AB370" t="s">
        <v>6161</v>
      </c>
      <c r="AC370" t="s">
        <v>6162</v>
      </c>
      <c r="AD370" t="s">
        <v>140</v>
      </c>
      <c r="AE370" t="s">
        <v>74</v>
      </c>
      <c r="AF370" t="s">
        <v>74</v>
      </c>
      <c r="AG370">
        <v>33</v>
      </c>
      <c r="AH370">
        <v>7</v>
      </c>
      <c r="AI370">
        <v>7</v>
      </c>
      <c r="AJ370">
        <v>0</v>
      </c>
      <c r="AK370">
        <v>3</v>
      </c>
      <c r="AL370" t="s">
        <v>1592</v>
      </c>
      <c r="AM370" t="s">
        <v>1593</v>
      </c>
      <c r="AN370" t="s">
        <v>2406</v>
      </c>
      <c r="AO370" t="s">
        <v>2442</v>
      </c>
      <c r="AP370" t="s">
        <v>74</v>
      </c>
      <c r="AQ370" t="s">
        <v>74</v>
      </c>
      <c r="AR370" t="s">
        <v>2444</v>
      </c>
      <c r="AS370" t="s">
        <v>2445</v>
      </c>
      <c r="AT370" t="s">
        <v>4839</v>
      </c>
      <c r="AU370">
        <v>2007</v>
      </c>
      <c r="AV370">
        <v>30</v>
      </c>
      <c r="AW370">
        <v>7</v>
      </c>
      <c r="AX370" t="s">
        <v>74</v>
      </c>
      <c r="AY370" t="s">
        <v>74</v>
      </c>
      <c r="AZ370" t="s">
        <v>74</v>
      </c>
      <c r="BA370" t="s">
        <v>74</v>
      </c>
      <c r="BB370">
        <v>945</v>
      </c>
      <c r="BC370">
        <v>950</v>
      </c>
      <c r="BD370" t="s">
        <v>74</v>
      </c>
      <c r="BE370" t="s">
        <v>6163</v>
      </c>
      <c r="BF370" t="str">
        <f>HYPERLINK("http://dx.doi.org/10.1007/s00300-007-0280-4","http://dx.doi.org/10.1007/s00300-007-0280-4")</f>
        <v>http://dx.doi.org/10.1007/s00300-007-0280-4</v>
      </c>
      <c r="BG370" t="s">
        <v>74</v>
      </c>
      <c r="BH370" t="s">
        <v>74</v>
      </c>
      <c r="BI370">
        <v>6</v>
      </c>
      <c r="BJ370" t="s">
        <v>97</v>
      </c>
      <c r="BK370" t="s">
        <v>98</v>
      </c>
      <c r="BL370" t="s">
        <v>99</v>
      </c>
      <c r="BM370" t="s">
        <v>6048</v>
      </c>
      <c r="BN370" t="s">
        <v>74</v>
      </c>
      <c r="BO370" t="s">
        <v>74</v>
      </c>
      <c r="BP370" t="s">
        <v>74</v>
      </c>
      <c r="BQ370" t="s">
        <v>74</v>
      </c>
      <c r="BR370" t="s">
        <v>101</v>
      </c>
      <c r="BS370" t="s">
        <v>6164</v>
      </c>
      <c r="BT370" t="str">
        <f>HYPERLINK("https%3A%2F%2Fwww.webofscience.com%2Fwos%2Fwoscc%2Ffull-record%2FWOS:000246391400015","View Full Record in Web of Science")</f>
        <v>View Full Record in Web of Science</v>
      </c>
    </row>
    <row r="371" spans="1:72" x14ac:dyDescent="0.15">
      <c r="A371" t="s">
        <v>72</v>
      </c>
      <c r="B371" t="s">
        <v>6165</v>
      </c>
      <c r="C371" t="s">
        <v>74</v>
      </c>
      <c r="D371" t="s">
        <v>74</v>
      </c>
      <c r="E371" t="s">
        <v>74</v>
      </c>
      <c r="F371" t="s">
        <v>6166</v>
      </c>
      <c r="G371" t="s">
        <v>74</v>
      </c>
      <c r="H371" t="s">
        <v>74</v>
      </c>
      <c r="I371" t="s">
        <v>6167</v>
      </c>
      <c r="J371" t="s">
        <v>6168</v>
      </c>
      <c r="K371" t="s">
        <v>74</v>
      </c>
      <c r="L371" t="s">
        <v>74</v>
      </c>
      <c r="M371" t="s">
        <v>6169</v>
      </c>
      <c r="N371" t="s">
        <v>79</v>
      </c>
      <c r="O371" t="s">
        <v>74</v>
      </c>
      <c r="P371" t="s">
        <v>74</v>
      </c>
      <c r="Q371" t="s">
        <v>74</v>
      </c>
      <c r="R371" t="s">
        <v>74</v>
      </c>
      <c r="S371" t="s">
        <v>74</v>
      </c>
      <c r="T371" t="s">
        <v>6170</v>
      </c>
      <c r="U371" t="s">
        <v>6171</v>
      </c>
      <c r="V371" t="s">
        <v>6172</v>
      </c>
      <c r="W371" t="s">
        <v>6173</v>
      </c>
      <c r="X371" t="s">
        <v>6174</v>
      </c>
      <c r="Y371" t="s">
        <v>6175</v>
      </c>
      <c r="Z371" t="s">
        <v>6176</v>
      </c>
      <c r="AA371" t="s">
        <v>74</v>
      </c>
      <c r="AB371" t="s">
        <v>74</v>
      </c>
      <c r="AC371" t="s">
        <v>74</v>
      </c>
      <c r="AD371" t="s">
        <v>74</v>
      </c>
      <c r="AE371" t="s">
        <v>74</v>
      </c>
      <c r="AF371" t="s">
        <v>74</v>
      </c>
      <c r="AG371">
        <v>159</v>
      </c>
      <c r="AH371">
        <v>0</v>
      </c>
      <c r="AI371">
        <v>1</v>
      </c>
      <c r="AJ371">
        <v>0</v>
      </c>
      <c r="AK371">
        <v>9</v>
      </c>
      <c r="AL371" t="s">
        <v>6177</v>
      </c>
      <c r="AM371" t="s">
        <v>6178</v>
      </c>
      <c r="AN371" t="s">
        <v>6179</v>
      </c>
      <c r="AO371" t="s">
        <v>6180</v>
      </c>
      <c r="AP371" t="s">
        <v>74</v>
      </c>
      <c r="AQ371" t="s">
        <v>74</v>
      </c>
      <c r="AR371" t="s">
        <v>6168</v>
      </c>
      <c r="AS371" t="s">
        <v>6181</v>
      </c>
      <c r="AT371" t="s">
        <v>4839</v>
      </c>
      <c r="AU371">
        <v>2007</v>
      </c>
      <c r="AV371">
        <v>18</v>
      </c>
      <c r="AW371">
        <v>2</v>
      </c>
      <c r="AX371" t="s">
        <v>74</v>
      </c>
      <c r="AY371" t="s">
        <v>74</v>
      </c>
      <c r="AZ371" t="s">
        <v>74</v>
      </c>
      <c r="BA371" t="s">
        <v>74</v>
      </c>
      <c r="BB371">
        <v>111</v>
      </c>
      <c r="BC371">
        <v>128</v>
      </c>
      <c r="BD371" t="s">
        <v>74</v>
      </c>
      <c r="BE371" t="s">
        <v>74</v>
      </c>
      <c r="BF371" t="s">
        <v>74</v>
      </c>
      <c r="BG371" t="s">
        <v>74</v>
      </c>
      <c r="BH371" t="s">
        <v>74</v>
      </c>
      <c r="BI371">
        <v>18</v>
      </c>
      <c r="BJ371" t="s">
        <v>151</v>
      </c>
      <c r="BK371" t="s">
        <v>98</v>
      </c>
      <c r="BL371" t="s">
        <v>152</v>
      </c>
      <c r="BM371" t="s">
        <v>6182</v>
      </c>
      <c r="BN371" t="s">
        <v>74</v>
      </c>
      <c r="BO371" t="s">
        <v>74</v>
      </c>
      <c r="BP371" t="s">
        <v>74</v>
      </c>
      <c r="BQ371" t="s">
        <v>74</v>
      </c>
      <c r="BR371" t="s">
        <v>101</v>
      </c>
      <c r="BS371" t="s">
        <v>6183</v>
      </c>
      <c r="BT371" t="str">
        <f>HYPERLINK("https%3A%2F%2Fwww.webofscience.com%2Fwos%2Fwoscc%2Ffull-record%2FWOS:000207928400001","View Full Record in Web of Science")</f>
        <v>View Full Record in Web of Science</v>
      </c>
    </row>
    <row r="372" spans="1:72" x14ac:dyDescent="0.15">
      <c r="A372" t="s">
        <v>72</v>
      </c>
      <c r="B372" t="s">
        <v>6184</v>
      </c>
      <c r="C372" t="s">
        <v>74</v>
      </c>
      <c r="D372" t="s">
        <v>74</v>
      </c>
      <c r="E372" t="s">
        <v>74</v>
      </c>
      <c r="F372" t="s">
        <v>6185</v>
      </c>
      <c r="G372" t="s">
        <v>74</v>
      </c>
      <c r="H372" t="s">
        <v>74</v>
      </c>
      <c r="I372" t="s">
        <v>6186</v>
      </c>
      <c r="J372" t="s">
        <v>6187</v>
      </c>
      <c r="K372" t="s">
        <v>74</v>
      </c>
      <c r="L372" t="s">
        <v>74</v>
      </c>
      <c r="M372" t="s">
        <v>78</v>
      </c>
      <c r="N372" t="s">
        <v>79</v>
      </c>
      <c r="O372" t="s">
        <v>74</v>
      </c>
      <c r="P372" t="s">
        <v>74</v>
      </c>
      <c r="Q372" t="s">
        <v>74</v>
      </c>
      <c r="R372" t="s">
        <v>74</v>
      </c>
      <c r="S372" t="s">
        <v>74</v>
      </c>
      <c r="T372" t="s">
        <v>6188</v>
      </c>
      <c r="U372" t="s">
        <v>6189</v>
      </c>
      <c r="V372" t="s">
        <v>6190</v>
      </c>
      <c r="W372" t="s">
        <v>6191</v>
      </c>
      <c r="X372" t="s">
        <v>6192</v>
      </c>
      <c r="Y372" t="s">
        <v>6193</v>
      </c>
      <c r="Z372" t="s">
        <v>6194</v>
      </c>
      <c r="AA372" t="s">
        <v>6195</v>
      </c>
      <c r="AB372" t="s">
        <v>6196</v>
      </c>
      <c r="AC372" t="s">
        <v>74</v>
      </c>
      <c r="AD372" t="s">
        <v>74</v>
      </c>
      <c r="AE372" t="s">
        <v>74</v>
      </c>
      <c r="AF372" t="s">
        <v>74</v>
      </c>
      <c r="AG372">
        <v>29</v>
      </c>
      <c r="AH372">
        <v>5</v>
      </c>
      <c r="AI372">
        <v>5</v>
      </c>
      <c r="AJ372">
        <v>0</v>
      </c>
      <c r="AK372">
        <v>2</v>
      </c>
      <c r="AL372" t="s">
        <v>6197</v>
      </c>
      <c r="AM372" t="s">
        <v>6198</v>
      </c>
      <c r="AN372" t="s">
        <v>6199</v>
      </c>
      <c r="AO372" t="s">
        <v>6200</v>
      </c>
      <c r="AP372" t="s">
        <v>74</v>
      </c>
      <c r="AQ372" t="s">
        <v>74</v>
      </c>
      <c r="AR372" t="s">
        <v>6201</v>
      </c>
      <c r="AS372" t="s">
        <v>6202</v>
      </c>
      <c r="AT372" t="s">
        <v>4839</v>
      </c>
      <c r="AU372">
        <v>2007</v>
      </c>
      <c r="AV372">
        <v>24</v>
      </c>
      <c r="AW372">
        <v>2</v>
      </c>
      <c r="AX372" t="s">
        <v>74</v>
      </c>
      <c r="AY372" t="s">
        <v>74</v>
      </c>
      <c r="AZ372" t="s">
        <v>74</v>
      </c>
      <c r="BA372" t="s">
        <v>74</v>
      </c>
      <c r="BB372">
        <v>457</v>
      </c>
      <c r="BC372">
        <v>462</v>
      </c>
      <c r="BD372" t="s">
        <v>74</v>
      </c>
      <c r="BE372" t="s">
        <v>6203</v>
      </c>
      <c r="BF372" t="str">
        <f>HYPERLINK("http://dx.doi.org/10.1590/S0101-81752007000200025","http://dx.doi.org/10.1590/S0101-81752007000200025")</f>
        <v>http://dx.doi.org/10.1590/S0101-81752007000200025</v>
      </c>
      <c r="BG372" t="s">
        <v>74</v>
      </c>
      <c r="BH372" t="s">
        <v>74</v>
      </c>
      <c r="BI372">
        <v>6</v>
      </c>
      <c r="BJ372" t="s">
        <v>507</v>
      </c>
      <c r="BK372" t="s">
        <v>98</v>
      </c>
      <c r="BL372" t="s">
        <v>507</v>
      </c>
      <c r="BM372" t="s">
        <v>6204</v>
      </c>
      <c r="BN372" t="s">
        <v>74</v>
      </c>
      <c r="BO372" t="s">
        <v>1212</v>
      </c>
      <c r="BP372" t="s">
        <v>74</v>
      </c>
      <c r="BQ372" t="s">
        <v>74</v>
      </c>
      <c r="BR372" t="s">
        <v>101</v>
      </c>
      <c r="BS372" t="s">
        <v>6205</v>
      </c>
      <c r="BT372" t="str">
        <f>HYPERLINK("https%3A%2F%2Fwww.webofscience.com%2Fwos%2Fwoscc%2Ffull-record%2FWOS:000247838500025","View Full Record in Web of Science")</f>
        <v>View Full Record in Web of Science</v>
      </c>
    </row>
    <row r="373" spans="1:72" x14ac:dyDescent="0.15">
      <c r="A373" t="s">
        <v>72</v>
      </c>
      <c r="B373" t="s">
        <v>6206</v>
      </c>
      <c r="C373" t="s">
        <v>74</v>
      </c>
      <c r="D373" t="s">
        <v>74</v>
      </c>
      <c r="E373" t="s">
        <v>74</v>
      </c>
      <c r="F373" t="s">
        <v>6207</v>
      </c>
      <c r="G373" t="s">
        <v>74</v>
      </c>
      <c r="H373" t="s">
        <v>74</v>
      </c>
      <c r="I373" t="s">
        <v>6208</v>
      </c>
      <c r="J373" t="s">
        <v>2701</v>
      </c>
      <c r="K373" t="s">
        <v>74</v>
      </c>
      <c r="L373" t="s">
        <v>74</v>
      </c>
      <c r="M373" t="s">
        <v>78</v>
      </c>
      <c r="N373" t="s">
        <v>79</v>
      </c>
      <c r="O373" t="s">
        <v>74</v>
      </c>
      <c r="P373" t="s">
        <v>74</v>
      </c>
      <c r="Q373" t="s">
        <v>74</v>
      </c>
      <c r="R373" t="s">
        <v>74</v>
      </c>
      <c r="S373" t="s">
        <v>74</v>
      </c>
      <c r="T373" t="s">
        <v>6209</v>
      </c>
      <c r="U373" t="s">
        <v>6210</v>
      </c>
      <c r="V373" t="s">
        <v>6211</v>
      </c>
      <c r="W373" t="s">
        <v>6212</v>
      </c>
      <c r="X373" t="s">
        <v>6213</v>
      </c>
      <c r="Y373" t="s">
        <v>6214</v>
      </c>
      <c r="Z373" t="s">
        <v>6215</v>
      </c>
      <c r="AA373" t="s">
        <v>74</v>
      </c>
      <c r="AB373" t="s">
        <v>74</v>
      </c>
      <c r="AC373" t="s">
        <v>74</v>
      </c>
      <c r="AD373" t="s">
        <v>74</v>
      </c>
      <c r="AE373" t="s">
        <v>74</v>
      </c>
      <c r="AF373" t="s">
        <v>74</v>
      </c>
      <c r="AG373">
        <v>39</v>
      </c>
      <c r="AH373">
        <v>13</v>
      </c>
      <c r="AI373">
        <v>15</v>
      </c>
      <c r="AJ373">
        <v>2</v>
      </c>
      <c r="AK373">
        <v>31</v>
      </c>
      <c r="AL373" t="s">
        <v>2709</v>
      </c>
      <c r="AM373" t="s">
        <v>2710</v>
      </c>
      <c r="AN373" t="s">
        <v>2711</v>
      </c>
      <c r="AO373" t="s">
        <v>2712</v>
      </c>
      <c r="AP373" t="s">
        <v>74</v>
      </c>
      <c r="AQ373" t="s">
        <v>74</v>
      </c>
      <c r="AR373" t="s">
        <v>2713</v>
      </c>
      <c r="AS373" t="s">
        <v>2714</v>
      </c>
      <c r="AT373" t="s">
        <v>4839</v>
      </c>
      <c r="AU373">
        <v>2007</v>
      </c>
      <c r="AV373">
        <v>50</v>
      </c>
      <c r="AW373">
        <v>7</v>
      </c>
      <c r="AX373" t="s">
        <v>74</v>
      </c>
      <c r="AY373" t="s">
        <v>74</v>
      </c>
      <c r="AZ373" t="s">
        <v>74</v>
      </c>
      <c r="BA373" t="s">
        <v>74</v>
      </c>
      <c r="BB373">
        <v>1086</v>
      </c>
      <c r="BC373">
        <v>1096</v>
      </c>
      <c r="BD373" t="s">
        <v>74</v>
      </c>
      <c r="BE373" t="s">
        <v>6216</v>
      </c>
      <c r="BF373" t="str">
        <f>HYPERLINK("http://dx.doi.org/10.1007/s11430-007-0021-0","http://dx.doi.org/10.1007/s11430-007-0021-0")</f>
        <v>http://dx.doi.org/10.1007/s11430-007-0021-0</v>
      </c>
      <c r="BG373" t="s">
        <v>74</v>
      </c>
      <c r="BH373" t="s">
        <v>74</v>
      </c>
      <c r="BI373">
        <v>11</v>
      </c>
      <c r="BJ373" t="s">
        <v>151</v>
      </c>
      <c r="BK373" t="s">
        <v>98</v>
      </c>
      <c r="BL373" t="s">
        <v>152</v>
      </c>
      <c r="BM373" t="s">
        <v>6217</v>
      </c>
      <c r="BN373" t="s">
        <v>74</v>
      </c>
      <c r="BO373" t="s">
        <v>74</v>
      </c>
      <c r="BP373" t="s">
        <v>74</v>
      </c>
      <c r="BQ373" t="s">
        <v>74</v>
      </c>
      <c r="BR373" t="s">
        <v>101</v>
      </c>
      <c r="BS373" t="s">
        <v>6218</v>
      </c>
      <c r="BT373" t="str">
        <f>HYPERLINK("https%3A%2F%2Fwww.webofscience.com%2Fwos%2Fwoscc%2Ffull-record%2FWOS:000247977700014","View Full Record in Web of Science")</f>
        <v>View Full Record in Web of Science</v>
      </c>
    </row>
    <row r="374" spans="1:72" x14ac:dyDescent="0.15">
      <c r="A374" t="s">
        <v>72</v>
      </c>
      <c r="B374" t="s">
        <v>6219</v>
      </c>
      <c r="C374" t="s">
        <v>74</v>
      </c>
      <c r="D374" t="s">
        <v>74</v>
      </c>
      <c r="E374" t="s">
        <v>74</v>
      </c>
      <c r="F374" t="s">
        <v>6220</v>
      </c>
      <c r="G374" t="s">
        <v>74</v>
      </c>
      <c r="H374" t="s">
        <v>74</v>
      </c>
      <c r="I374" t="s">
        <v>6221</v>
      </c>
      <c r="J374" t="s">
        <v>6222</v>
      </c>
      <c r="K374" t="s">
        <v>74</v>
      </c>
      <c r="L374" t="s">
        <v>74</v>
      </c>
      <c r="M374" t="s">
        <v>78</v>
      </c>
      <c r="N374" t="s">
        <v>79</v>
      </c>
      <c r="O374" t="s">
        <v>74</v>
      </c>
      <c r="P374" t="s">
        <v>74</v>
      </c>
      <c r="Q374" t="s">
        <v>74</v>
      </c>
      <c r="R374" t="s">
        <v>74</v>
      </c>
      <c r="S374" t="s">
        <v>74</v>
      </c>
      <c r="T374" t="s">
        <v>6223</v>
      </c>
      <c r="U374" t="s">
        <v>6224</v>
      </c>
      <c r="V374" t="s">
        <v>6225</v>
      </c>
      <c r="W374" t="s">
        <v>6226</v>
      </c>
      <c r="X374" t="s">
        <v>6227</v>
      </c>
      <c r="Y374" t="s">
        <v>6228</v>
      </c>
      <c r="Z374" t="s">
        <v>6229</v>
      </c>
      <c r="AA374" t="s">
        <v>6230</v>
      </c>
      <c r="AB374" t="s">
        <v>6231</v>
      </c>
      <c r="AC374" t="s">
        <v>74</v>
      </c>
      <c r="AD374" t="s">
        <v>74</v>
      </c>
      <c r="AE374" t="s">
        <v>74</v>
      </c>
      <c r="AF374" t="s">
        <v>74</v>
      </c>
      <c r="AG374">
        <v>10</v>
      </c>
      <c r="AH374">
        <v>18</v>
      </c>
      <c r="AI374">
        <v>23</v>
      </c>
      <c r="AJ374">
        <v>0</v>
      </c>
      <c r="AK374">
        <v>8</v>
      </c>
      <c r="AL374" t="s">
        <v>6232</v>
      </c>
      <c r="AM374" t="s">
        <v>142</v>
      </c>
      <c r="AN374" t="s">
        <v>6233</v>
      </c>
      <c r="AO374" t="s">
        <v>6234</v>
      </c>
      <c r="AP374" t="s">
        <v>74</v>
      </c>
      <c r="AQ374" t="s">
        <v>74</v>
      </c>
      <c r="AR374" t="s">
        <v>6222</v>
      </c>
      <c r="AS374" t="s">
        <v>6235</v>
      </c>
      <c r="AT374" t="s">
        <v>4839</v>
      </c>
      <c r="AU374">
        <v>2007</v>
      </c>
      <c r="AV374">
        <v>30</v>
      </c>
      <c r="AW374">
        <v>2</v>
      </c>
      <c r="AX374" t="s">
        <v>74</v>
      </c>
      <c r="AY374" t="s">
        <v>74</v>
      </c>
      <c r="AZ374" t="s">
        <v>74</v>
      </c>
      <c r="BA374" t="s">
        <v>74</v>
      </c>
      <c r="BB374">
        <v>259</v>
      </c>
      <c r="BC374">
        <v>267</v>
      </c>
      <c r="BD374" t="s">
        <v>74</v>
      </c>
      <c r="BE374" t="s">
        <v>6236</v>
      </c>
      <c r="BF374" t="str">
        <f>HYPERLINK("http://dx.doi.org/10.1675/1524-4695(2007)30[259:EOSRAM]2.0.CO;2","http://dx.doi.org/10.1675/1524-4695(2007)30[259:EOSRAM]2.0.CO;2")</f>
        <v>http://dx.doi.org/10.1675/1524-4695(2007)30[259:EOSRAM]2.0.CO;2</v>
      </c>
      <c r="BG374" t="s">
        <v>74</v>
      </c>
      <c r="BH374" t="s">
        <v>74</v>
      </c>
      <c r="BI374">
        <v>9</v>
      </c>
      <c r="BJ374" t="s">
        <v>6237</v>
      </c>
      <c r="BK374" t="s">
        <v>98</v>
      </c>
      <c r="BL374" t="s">
        <v>507</v>
      </c>
      <c r="BM374" t="s">
        <v>6238</v>
      </c>
      <c r="BN374" t="s">
        <v>74</v>
      </c>
      <c r="BO374" t="s">
        <v>74</v>
      </c>
      <c r="BP374" t="s">
        <v>74</v>
      </c>
      <c r="BQ374" t="s">
        <v>74</v>
      </c>
      <c r="BR374" t="s">
        <v>101</v>
      </c>
      <c r="BS374" t="s">
        <v>6239</v>
      </c>
      <c r="BT374" t="str">
        <f>HYPERLINK("https%3A%2F%2Fwww.webofscience.com%2Fwos%2Fwoscc%2Ffull-record%2FWOS:000248130200011","View Full Record in Web of Science")</f>
        <v>View Full Record in Web of Science</v>
      </c>
    </row>
    <row r="375" spans="1:72" x14ac:dyDescent="0.15">
      <c r="A375" t="s">
        <v>72</v>
      </c>
      <c r="B375" t="s">
        <v>6240</v>
      </c>
      <c r="C375" t="s">
        <v>74</v>
      </c>
      <c r="D375" t="s">
        <v>74</v>
      </c>
      <c r="E375" t="s">
        <v>74</v>
      </c>
      <c r="F375" t="s">
        <v>6241</v>
      </c>
      <c r="G375" t="s">
        <v>74</v>
      </c>
      <c r="H375" t="s">
        <v>74</v>
      </c>
      <c r="I375" t="s">
        <v>6242</v>
      </c>
      <c r="J375" t="s">
        <v>6243</v>
      </c>
      <c r="K375" t="s">
        <v>74</v>
      </c>
      <c r="L375" t="s">
        <v>74</v>
      </c>
      <c r="M375" t="s">
        <v>78</v>
      </c>
      <c r="N375" t="s">
        <v>79</v>
      </c>
      <c r="O375" t="s">
        <v>74</v>
      </c>
      <c r="P375" t="s">
        <v>74</v>
      </c>
      <c r="Q375" t="s">
        <v>74</v>
      </c>
      <c r="R375" t="s">
        <v>74</v>
      </c>
      <c r="S375" t="s">
        <v>74</v>
      </c>
      <c r="T375" t="s">
        <v>6244</v>
      </c>
      <c r="U375" t="s">
        <v>6245</v>
      </c>
      <c r="V375" t="s">
        <v>6246</v>
      </c>
      <c r="W375" t="s">
        <v>6247</v>
      </c>
      <c r="X375" t="s">
        <v>74</v>
      </c>
      <c r="Y375" t="s">
        <v>6248</v>
      </c>
      <c r="Z375" t="s">
        <v>6249</v>
      </c>
      <c r="AA375" t="s">
        <v>74</v>
      </c>
      <c r="AB375" t="s">
        <v>74</v>
      </c>
      <c r="AC375" t="s">
        <v>3097</v>
      </c>
      <c r="AD375" t="s">
        <v>361</v>
      </c>
      <c r="AE375" t="s">
        <v>74</v>
      </c>
      <c r="AF375" t="s">
        <v>74</v>
      </c>
      <c r="AG375">
        <v>13</v>
      </c>
      <c r="AH375">
        <v>3</v>
      </c>
      <c r="AI375">
        <v>3</v>
      </c>
      <c r="AJ375">
        <v>0</v>
      </c>
      <c r="AK375">
        <v>0</v>
      </c>
      <c r="AL375" t="s">
        <v>5698</v>
      </c>
      <c r="AM375" t="s">
        <v>3921</v>
      </c>
      <c r="AN375" t="s">
        <v>5699</v>
      </c>
      <c r="AO375" t="s">
        <v>6250</v>
      </c>
      <c r="AP375" t="s">
        <v>74</v>
      </c>
      <c r="AQ375" t="s">
        <v>74</v>
      </c>
      <c r="AR375" t="s">
        <v>6251</v>
      </c>
      <c r="AS375" t="s">
        <v>6252</v>
      </c>
      <c r="AT375" t="s">
        <v>6253</v>
      </c>
      <c r="AU375">
        <v>2007</v>
      </c>
      <c r="AV375">
        <v>18</v>
      </c>
      <c r="AW375">
        <v>2</v>
      </c>
      <c r="AX375" t="s">
        <v>74</v>
      </c>
      <c r="AY375" t="s">
        <v>74</v>
      </c>
      <c r="AZ375" t="s">
        <v>74</v>
      </c>
      <c r="BA375" t="s">
        <v>74</v>
      </c>
      <c r="BB375">
        <v>120</v>
      </c>
      <c r="BC375">
        <v>126</v>
      </c>
      <c r="BD375" t="s">
        <v>74</v>
      </c>
      <c r="BE375" t="s">
        <v>6254</v>
      </c>
      <c r="BF375" t="str">
        <f>HYPERLINK("http://dx.doi.org/10.1580/06-WEME-CR-017R2.1","http://dx.doi.org/10.1580/06-WEME-CR-017R2.1")</f>
        <v>http://dx.doi.org/10.1580/06-WEME-CR-017R2.1</v>
      </c>
      <c r="BG375" t="s">
        <v>74</v>
      </c>
      <c r="BH375" t="s">
        <v>74</v>
      </c>
      <c r="BI375">
        <v>7</v>
      </c>
      <c r="BJ375" t="s">
        <v>6255</v>
      </c>
      <c r="BK375" t="s">
        <v>98</v>
      </c>
      <c r="BL375" t="s">
        <v>6255</v>
      </c>
      <c r="BM375" t="s">
        <v>6256</v>
      </c>
      <c r="BN375">
        <v>17590062</v>
      </c>
      <c r="BO375" t="s">
        <v>74</v>
      </c>
      <c r="BP375" t="s">
        <v>74</v>
      </c>
      <c r="BQ375" t="s">
        <v>74</v>
      </c>
      <c r="BR375" t="s">
        <v>101</v>
      </c>
      <c r="BS375" t="s">
        <v>6257</v>
      </c>
      <c r="BT375" t="str">
        <f>HYPERLINK("https%3A%2F%2Fwww.webofscience.com%2Fwos%2Fwoscc%2Ffull-record%2FWOS:000247641100008","View Full Record in Web of Science")</f>
        <v>View Full Record in Web of Science</v>
      </c>
    </row>
    <row r="376" spans="1:72" x14ac:dyDescent="0.15">
      <c r="A376" t="s">
        <v>72</v>
      </c>
      <c r="B376" t="s">
        <v>6258</v>
      </c>
      <c r="C376" t="s">
        <v>74</v>
      </c>
      <c r="D376" t="s">
        <v>74</v>
      </c>
      <c r="E376" t="s">
        <v>74</v>
      </c>
      <c r="F376" t="s">
        <v>6259</v>
      </c>
      <c r="G376" t="s">
        <v>74</v>
      </c>
      <c r="H376" t="s">
        <v>74</v>
      </c>
      <c r="I376" t="s">
        <v>6260</v>
      </c>
      <c r="J376" t="s">
        <v>182</v>
      </c>
      <c r="K376" t="s">
        <v>74</v>
      </c>
      <c r="L376" t="s">
        <v>74</v>
      </c>
      <c r="M376" t="s">
        <v>78</v>
      </c>
      <c r="N376" t="s">
        <v>79</v>
      </c>
      <c r="O376" t="s">
        <v>74</v>
      </c>
      <c r="P376" t="s">
        <v>74</v>
      </c>
      <c r="Q376" t="s">
        <v>74</v>
      </c>
      <c r="R376" t="s">
        <v>74</v>
      </c>
      <c r="S376" t="s">
        <v>74</v>
      </c>
      <c r="T376" t="s">
        <v>74</v>
      </c>
      <c r="U376" t="s">
        <v>6261</v>
      </c>
      <c r="V376" t="s">
        <v>6262</v>
      </c>
      <c r="W376" t="s">
        <v>6263</v>
      </c>
      <c r="X376" t="s">
        <v>6264</v>
      </c>
      <c r="Y376" t="s">
        <v>6265</v>
      </c>
      <c r="Z376" t="s">
        <v>6266</v>
      </c>
      <c r="AA376" t="s">
        <v>6267</v>
      </c>
      <c r="AB376" t="s">
        <v>6268</v>
      </c>
      <c r="AC376" t="s">
        <v>74</v>
      </c>
      <c r="AD376" t="s">
        <v>74</v>
      </c>
      <c r="AE376" t="s">
        <v>74</v>
      </c>
      <c r="AF376" t="s">
        <v>74</v>
      </c>
      <c r="AG376">
        <v>26</v>
      </c>
      <c r="AH376">
        <v>46</v>
      </c>
      <c r="AI376">
        <v>52</v>
      </c>
      <c r="AJ376">
        <v>1</v>
      </c>
      <c r="AK376">
        <v>15</v>
      </c>
      <c r="AL376" t="s">
        <v>141</v>
      </c>
      <c r="AM376" t="s">
        <v>142</v>
      </c>
      <c r="AN376" t="s">
        <v>143</v>
      </c>
      <c r="AO376" t="s">
        <v>189</v>
      </c>
      <c r="AP376" t="s">
        <v>549</v>
      </c>
      <c r="AQ376" t="s">
        <v>74</v>
      </c>
      <c r="AR376" t="s">
        <v>190</v>
      </c>
      <c r="AS376" t="s">
        <v>191</v>
      </c>
      <c r="AT376" t="s">
        <v>6269</v>
      </c>
      <c r="AU376">
        <v>2007</v>
      </c>
      <c r="AV376">
        <v>21</v>
      </c>
      <c r="AW376">
        <v>2</v>
      </c>
      <c r="AX376" t="s">
        <v>74</v>
      </c>
      <c r="AY376" t="s">
        <v>74</v>
      </c>
      <c r="AZ376" t="s">
        <v>74</v>
      </c>
      <c r="BA376" t="s">
        <v>74</v>
      </c>
      <c r="BB376" t="s">
        <v>74</v>
      </c>
      <c r="BC376" t="s">
        <v>74</v>
      </c>
      <c r="BD376" t="s">
        <v>6270</v>
      </c>
      <c r="BE376" t="s">
        <v>6271</v>
      </c>
      <c r="BF376" t="str">
        <f>HYPERLINK("http://dx.doi.org/10.1029/2006GB002916","http://dx.doi.org/10.1029/2006GB002916")</f>
        <v>http://dx.doi.org/10.1029/2006GB002916</v>
      </c>
      <c r="BG376" t="s">
        <v>74</v>
      </c>
      <c r="BH376" t="s">
        <v>74</v>
      </c>
      <c r="BI376">
        <v>10</v>
      </c>
      <c r="BJ376" t="s">
        <v>195</v>
      </c>
      <c r="BK376" t="s">
        <v>98</v>
      </c>
      <c r="BL376" t="s">
        <v>196</v>
      </c>
      <c r="BM376" t="s">
        <v>6272</v>
      </c>
      <c r="BN376" t="s">
        <v>74</v>
      </c>
      <c r="BO376" t="s">
        <v>154</v>
      </c>
      <c r="BP376" t="s">
        <v>74</v>
      </c>
      <c r="BQ376" t="s">
        <v>74</v>
      </c>
      <c r="BR376" t="s">
        <v>101</v>
      </c>
      <c r="BS376" t="s">
        <v>6273</v>
      </c>
      <c r="BT376" t="str">
        <f>HYPERLINK("https%3A%2F%2Fwww.webofscience.com%2Fwos%2Fwoscc%2Ffull-record%2FWOS:000246941200001","View Full Record in Web of Science")</f>
        <v>View Full Record in Web of Science</v>
      </c>
    </row>
    <row r="377" spans="1:72" x14ac:dyDescent="0.15">
      <c r="A377" t="s">
        <v>72</v>
      </c>
      <c r="B377" t="s">
        <v>6274</v>
      </c>
      <c r="C377" t="s">
        <v>74</v>
      </c>
      <c r="D377" t="s">
        <v>74</v>
      </c>
      <c r="E377" t="s">
        <v>74</v>
      </c>
      <c r="F377" t="s">
        <v>6275</v>
      </c>
      <c r="G377" t="s">
        <v>74</v>
      </c>
      <c r="H377" t="s">
        <v>74</v>
      </c>
      <c r="I377" t="s">
        <v>6276</v>
      </c>
      <c r="J377" t="s">
        <v>694</v>
      </c>
      <c r="K377" t="s">
        <v>74</v>
      </c>
      <c r="L377" t="s">
        <v>74</v>
      </c>
      <c r="M377" t="s">
        <v>78</v>
      </c>
      <c r="N377" t="s">
        <v>79</v>
      </c>
      <c r="O377" t="s">
        <v>74</v>
      </c>
      <c r="P377" t="s">
        <v>74</v>
      </c>
      <c r="Q377" t="s">
        <v>74</v>
      </c>
      <c r="R377" t="s">
        <v>74</v>
      </c>
      <c r="S377" t="s">
        <v>74</v>
      </c>
      <c r="T377" t="s">
        <v>6277</v>
      </c>
      <c r="U377" t="s">
        <v>6278</v>
      </c>
      <c r="V377" t="s">
        <v>6279</v>
      </c>
      <c r="W377" t="s">
        <v>6280</v>
      </c>
      <c r="X377" t="s">
        <v>5423</v>
      </c>
      <c r="Y377" t="s">
        <v>6281</v>
      </c>
      <c r="Z377" t="s">
        <v>6282</v>
      </c>
      <c r="AA377" t="s">
        <v>6283</v>
      </c>
      <c r="AB377" t="s">
        <v>6284</v>
      </c>
      <c r="AC377" t="s">
        <v>74</v>
      </c>
      <c r="AD377" t="s">
        <v>74</v>
      </c>
      <c r="AE377" t="s">
        <v>74</v>
      </c>
      <c r="AF377" t="s">
        <v>74</v>
      </c>
      <c r="AG377">
        <v>69</v>
      </c>
      <c r="AH377">
        <v>24</v>
      </c>
      <c r="AI377">
        <v>26</v>
      </c>
      <c r="AJ377">
        <v>0</v>
      </c>
      <c r="AK377">
        <v>10</v>
      </c>
      <c r="AL377" t="s">
        <v>592</v>
      </c>
      <c r="AM377" t="s">
        <v>273</v>
      </c>
      <c r="AN377" t="s">
        <v>593</v>
      </c>
      <c r="AO377" t="s">
        <v>704</v>
      </c>
      <c r="AP377" t="s">
        <v>705</v>
      </c>
      <c r="AQ377" t="s">
        <v>74</v>
      </c>
      <c r="AR377" t="s">
        <v>706</v>
      </c>
      <c r="AS377" t="s">
        <v>707</v>
      </c>
      <c r="AT377" t="s">
        <v>6285</v>
      </c>
      <c r="AU377">
        <v>2007</v>
      </c>
      <c r="AV377">
        <v>257</v>
      </c>
      <c r="AW377" t="s">
        <v>686</v>
      </c>
      <c r="AX377" t="s">
        <v>74</v>
      </c>
      <c r="AY377" t="s">
        <v>74</v>
      </c>
      <c r="AZ377" t="s">
        <v>74</v>
      </c>
      <c r="BA377" t="s">
        <v>74</v>
      </c>
      <c r="BB377">
        <v>463</v>
      </c>
      <c r="BC377">
        <v>473</v>
      </c>
      <c r="BD377" t="s">
        <v>74</v>
      </c>
      <c r="BE377" t="s">
        <v>6286</v>
      </c>
      <c r="BF377" t="str">
        <f>HYPERLINK("http://dx.doi.org/10.1016/j.epsl.2007.03.003","http://dx.doi.org/10.1016/j.epsl.2007.03.003")</f>
        <v>http://dx.doi.org/10.1016/j.epsl.2007.03.003</v>
      </c>
      <c r="BG377" t="s">
        <v>74</v>
      </c>
      <c r="BH377" t="s">
        <v>74</v>
      </c>
      <c r="BI377">
        <v>11</v>
      </c>
      <c r="BJ377" t="s">
        <v>688</v>
      </c>
      <c r="BK377" t="s">
        <v>98</v>
      </c>
      <c r="BL377" t="s">
        <v>688</v>
      </c>
      <c r="BM377" t="s">
        <v>6287</v>
      </c>
      <c r="BN377" t="s">
        <v>74</v>
      </c>
      <c r="BO377" t="s">
        <v>74</v>
      </c>
      <c r="BP377" t="s">
        <v>74</v>
      </c>
      <c r="BQ377" t="s">
        <v>74</v>
      </c>
      <c r="BR377" t="s">
        <v>101</v>
      </c>
      <c r="BS377" t="s">
        <v>6288</v>
      </c>
      <c r="BT377" t="str">
        <f>HYPERLINK("https%3A%2F%2Fwww.webofscience.com%2Fwos%2Fwoscc%2Ffull-record%2FWOS:000247148500008","View Full Record in Web of Science")</f>
        <v>View Full Record in Web of Science</v>
      </c>
    </row>
    <row r="378" spans="1:72" x14ac:dyDescent="0.15">
      <c r="A378" t="s">
        <v>72</v>
      </c>
      <c r="B378" t="s">
        <v>6289</v>
      </c>
      <c r="C378" t="s">
        <v>74</v>
      </c>
      <c r="D378" t="s">
        <v>74</v>
      </c>
      <c r="E378" t="s">
        <v>74</v>
      </c>
      <c r="F378" t="s">
        <v>6290</v>
      </c>
      <c r="G378" t="s">
        <v>74</v>
      </c>
      <c r="H378" t="s">
        <v>74</v>
      </c>
      <c r="I378" t="s">
        <v>6291</v>
      </c>
      <c r="J378" t="s">
        <v>694</v>
      </c>
      <c r="K378" t="s">
        <v>74</v>
      </c>
      <c r="L378" t="s">
        <v>74</v>
      </c>
      <c r="M378" t="s">
        <v>78</v>
      </c>
      <c r="N378" t="s">
        <v>79</v>
      </c>
      <c r="O378" t="s">
        <v>74</v>
      </c>
      <c r="P378" t="s">
        <v>74</v>
      </c>
      <c r="Q378" t="s">
        <v>74</v>
      </c>
      <c r="R378" t="s">
        <v>74</v>
      </c>
      <c r="S378" t="s">
        <v>74</v>
      </c>
      <c r="T378" t="s">
        <v>6292</v>
      </c>
      <c r="U378" t="s">
        <v>6293</v>
      </c>
      <c r="V378" t="s">
        <v>6294</v>
      </c>
      <c r="W378" t="s">
        <v>6295</v>
      </c>
      <c r="X378" t="s">
        <v>3744</v>
      </c>
      <c r="Y378" t="s">
        <v>6296</v>
      </c>
      <c r="Z378" t="s">
        <v>6297</v>
      </c>
      <c r="AA378" t="s">
        <v>6298</v>
      </c>
      <c r="AB378" t="s">
        <v>6299</v>
      </c>
      <c r="AC378" t="s">
        <v>74</v>
      </c>
      <c r="AD378" t="s">
        <v>74</v>
      </c>
      <c r="AE378" t="s">
        <v>74</v>
      </c>
      <c r="AF378" t="s">
        <v>74</v>
      </c>
      <c r="AG378">
        <v>30</v>
      </c>
      <c r="AH378">
        <v>53</v>
      </c>
      <c r="AI378">
        <v>60</v>
      </c>
      <c r="AJ378">
        <v>1</v>
      </c>
      <c r="AK378">
        <v>15</v>
      </c>
      <c r="AL378" t="s">
        <v>272</v>
      </c>
      <c r="AM378" t="s">
        <v>273</v>
      </c>
      <c r="AN378" t="s">
        <v>274</v>
      </c>
      <c r="AO378" t="s">
        <v>704</v>
      </c>
      <c r="AP378" t="s">
        <v>705</v>
      </c>
      <c r="AQ378" t="s">
        <v>74</v>
      </c>
      <c r="AR378" t="s">
        <v>706</v>
      </c>
      <c r="AS378" t="s">
        <v>707</v>
      </c>
      <c r="AT378" t="s">
        <v>6285</v>
      </c>
      <c r="AU378">
        <v>2007</v>
      </c>
      <c r="AV378">
        <v>257</v>
      </c>
      <c r="AW378" t="s">
        <v>686</v>
      </c>
      <c r="AX378" t="s">
        <v>74</v>
      </c>
      <c r="AY378" t="s">
        <v>74</v>
      </c>
      <c r="AZ378" t="s">
        <v>74</v>
      </c>
      <c r="BA378" t="s">
        <v>74</v>
      </c>
      <c r="BB378">
        <v>526</v>
      </c>
      <c r="BC378">
        <v>544</v>
      </c>
      <c r="BD378" t="s">
        <v>74</v>
      </c>
      <c r="BE378" t="s">
        <v>6300</v>
      </c>
      <c r="BF378" t="str">
        <f>HYPERLINK("http://dx.doi.org/10.1016/j.epsl.2007.03.021","http://dx.doi.org/10.1016/j.epsl.2007.03.021")</f>
        <v>http://dx.doi.org/10.1016/j.epsl.2007.03.021</v>
      </c>
      <c r="BG378" t="s">
        <v>74</v>
      </c>
      <c r="BH378" t="s">
        <v>74</v>
      </c>
      <c r="BI378">
        <v>19</v>
      </c>
      <c r="BJ378" t="s">
        <v>688</v>
      </c>
      <c r="BK378" t="s">
        <v>98</v>
      </c>
      <c r="BL378" t="s">
        <v>688</v>
      </c>
      <c r="BM378" t="s">
        <v>6287</v>
      </c>
      <c r="BN378" t="s">
        <v>74</v>
      </c>
      <c r="BO378" t="s">
        <v>198</v>
      </c>
      <c r="BP378" t="s">
        <v>74</v>
      </c>
      <c r="BQ378" t="s">
        <v>74</v>
      </c>
      <c r="BR378" t="s">
        <v>101</v>
      </c>
      <c r="BS378" t="s">
        <v>6301</v>
      </c>
      <c r="BT378" t="str">
        <f>HYPERLINK("https%3A%2F%2Fwww.webofscience.com%2Fwos%2Fwoscc%2Ffull-record%2FWOS:000247148500013","View Full Record in Web of Science")</f>
        <v>View Full Record in Web of Science</v>
      </c>
    </row>
    <row r="379" spans="1:72" x14ac:dyDescent="0.15">
      <c r="A379" t="s">
        <v>72</v>
      </c>
      <c r="B379" t="s">
        <v>6302</v>
      </c>
      <c r="C379" t="s">
        <v>74</v>
      </c>
      <c r="D379" t="s">
        <v>74</v>
      </c>
      <c r="E379" t="s">
        <v>74</v>
      </c>
      <c r="F379" t="s">
        <v>6303</v>
      </c>
      <c r="G379" t="s">
        <v>74</v>
      </c>
      <c r="H379" t="s">
        <v>74</v>
      </c>
      <c r="I379" t="s">
        <v>6304</v>
      </c>
      <c r="J379" t="s">
        <v>694</v>
      </c>
      <c r="K379" t="s">
        <v>74</v>
      </c>
      <c r="L379" t="s">
        <v>74</v>
      </c>
      <c r="M379" t="s">
        <v>78</v>
      </c>
      <c r="N379" t="s">
        <v>79</v>
      </c>
      <c r="O379" t="s">
        <v>74</v>
      </c>
      <c r="P379" t="s">
        <v>74</v>
      </c>
      <c r="Q379" t="s">
        <v>74</v>
      </c>
      <c r="R379" t="s">
        <v>74</v>
      </c>
      <c r="S379" t="s">
        <v>74</v>
      </c>
      <c r="T379" t="s">
        <v>6305</v>
      </c>
      <c r="U379" t="s">
        <v>6306</v>
      </c>
      <c r="V379" t="s">
        <v>6307</v>
      </c>
      <c r="W379" t="s">
        <v>6308</v>
      </c>
      <c r="X379" t="s">
        <v>6309</v>
      </c>
      <c r="Y379" t="s">
        <v>6310</v>
      </c>
      <c r="Z379" t="s">
        <v>6311</v>
      </c>
      <c r="AA379" t="s">
        <v>6312</v>
      </c>
      <c r="AB379" t="s">
        <v>6313</v>
      </c>
      <c r="AC379" t="s">
        <v>74</v>
      </c>
      <c r="AD379" t="s">
        <v>74</v>
      </c>
      <c r="AE379" t="s">
        <v>74</v>
      </c>
      <c r="AF379" t="s">
        <v>74</v>
      </c>
      <c r="AG379">
        <v>31</v>
      </c>
      <c r="AH379">
        <v>24</v>
      </c>
      <c r="AI379">
        <v>24</v>
      </c>
      <c r="AJ379">
        <v>0</v>
      </c>
      <c r="AK379">
        <v>7</v>
      </c>
      <c r="AL379" t="s">
        <v>592</v>
      </c>
      <c r="AM379" t="s">
        <v>273</v>
      </c>
      <c r="AN379" t="s">
        <v>593</v>
      </c>
      <c r="AO379" t="s">
        <v>704</v>
      </c>
      <c r="AP379" t="s">
        <v>705</v>
      </c>
      <c r="AQ379" t="s">
        <v>74</v>
      </c>
      <c r="AR379" t="s">
        <v>706</v>
      </c>
      <c r="AS379" t="s">
        <v>707</v>
      </c>
      <c r="AT379" t="s">
        <v>6285</v>
      </c>
      <c r="AU379">
        <v>2007</v>
      </c>
      <c r="AV379">
        <v>257</v>
      </c>
      <c r="AW379" t="s">
        <v>686</v>
      </c>
      <c r="AX379" t="s">
        <v>74</v>
      </c>
      <c r="AY379" t="s">
        <v>74</v>
      </c>
      <c r="AZ379" t="s">
        <v>74</v>
      </c>
      <c r="BA379" t="s">
        <v>74</v>
      </c>
      <c r="BB379">
        <v>596</v>
      </c>
      <c r="BC379">
        <v>608</v>
      </c>
      <c r="BD379" t="s">
        <v>74</v>
      </c>
      <c r="BE379" t="s">
        <v>6314</v>
      </c>
      <c r="BF379" t="str">
        <f>HYPERLINK("http://dx.doi.org/10.1016/j.epsl.2007.03.020","http://dx.doi.org/10.1016/j.epsl.2007.03.020")</f>
        <v>http://dx.doi.org/10.1016/j.epsl.2007.03.020</v>
      </c>
      <c r="BG379" t="s">
        <v>74</v>
      </c>
      <c r="BH379" t="s">
        <v>74</v>
      </c>
      <c r="BI379">
        <v>13</v>
      </c>
      <c r="BJ379" t="s">
        <v>688</v>
      </c>
      <c r="BK379" t="s">
        <v>98</v>
      </c>
      <c r="BL379" t="s">
        <v>688</v>
      </c>
      <c r="BM379" t="s">
        <v>6287</v>
      </c>
      <c r="BN379" t="s">
        <v>74</v>
      </c>
      <c r="BO379" t="s">
        <v>1249</v>
      </c>
      <c r="BP379" t="s">
        <v>74</v>
      </c>
      <c r="BQ379" t="s">
        <v>74</v>
      </c>
      <c r="BR379" t="s">
        <v>101</v>
      </c>
      <c r="BS379" t="s">
        <v>6315</v>
      </c>
      <c r="BT379" t="str">
        <f>HYPERLINK("https%3A%2F%2Fwww.webofscience.com%2Fwos%2Fwoscc%2Ffull-record%2FWOS:000247148500017","View Full Record in Web of Science")</f>
        <v>View Full Record in Web of Science</v>
      </c>
    </row>
    <row r="380" spans="1:72" x14ac:dyDescent="0.15">
      <c r="A380" t="s">
        <v>72</v>
      </c>
      <c r="B380" t="s">
        <v>6316</v>
      </c>
      <c r="C380" t="s">
        <v>74</v>
      </c>
      <c r="D380" t="s">
        <v>74</v>
      </c>
      <c r="E380" t="s">
        <v>74</v>
      </c>
      <c r="F380" t="s">
        <v>6317</v>
      </c>
      <c r="G380" t="s">
        <v>74</v>
      </c>
      <c r="H380" t="s">
        <v>74</v>
      </c>
      <c r="I380" t="s">
        <v>6318</v>
      </c>
      <c r="J380" t="s">
        <v>182</v>
      </c>
      <c r="K380" t="s">
        <v>74</v>
      </c>
      <c r="L380" t="s">
        <v>74</v>
      </c>
      <c r="M380" t="s">
        <v>78</v>
      </c>
      <c r="N380" t="s">
        <v>79</v>
      </c>
      <c r="O380" t="s">
        <v>74</v>
      </c>
      <c r="P380" t="s">
        <v>74</v>
      </c>
      <c r="Q380" t="s">
        <v>74</v>
      </c>
      <c r="R380" t="s">
        <v>74</v>
      </c>
      <c r="S380" t="s">
        <v>74</v>
      </c>
      <c r="T380" t="s">
        <v>74</v>
      </c>
      <c r="U380" t="s">
        <v>6319</v>
      </c>
      <c r="V380" t="s">
        <v>6320</v>
      </c>
      <c r="W380" t="s">
        <v>6321</v>
      </c>
      <c r="X380" t="s">
        <v>6322</v>
      </c>
      <c r="Y380" t="s">
        <v>6323</v>
      </c>
      <c r="Z380" t="s">
        <v>6324</v>
      </c>
      <c r="AA380" t="s">
        <v>6325</v>
      </c>
      <c r="AB380" t="s">
        <v>6326</v>
      </c>
      <c r="AC380" t="s">
        <v>74</v>
      </c>
      <c r="AD380" t="s">
        <v>74</v>
      </c>
      <c r="AE380" t="s">
        <v>74</v>
      </c>
      <c r="AF380" t="s">
        <v>74</v>
      </c>
      <c r="AG380">
        <v>51</v>
      </c>
      <c r="AH380">
        <v>121</v>
      </c>
      <c r="AI380">
        <v>132</v>
      </c>
      <c r="AJ380">
        <v>1</v>
      </c>
      <c r="AK380">
        <v>27</v>
      </c>
      <c r="AL380" t="s">
        <v>141</v>
      </c>
      <c r="AM380" t="s">
        <v>142</v>
      </c>
      <c r="AN380" t="s">
        <v>143</v>
      </c>
      <c r="AO380" t="s">
        <v>189</v>
      </c>
      <c r="AP380" t="s">
        <v>549</v>
      </c>
      <c r="AQ380" t="s">
        <v>74</v>
      </c>
      <c r="AR380" t="s">
        <v>190</v>
      </c>
      <c r="AS380" t="s">
        <v>191</v>
      </c>
      <c r="AT380" t="s">
        <v>6285</v>
      </c>
      <c r="AU380">
        <v>2007</v>
      </c>
      <c r="AV380">
        <v>21</v>
      </c>
      <c r="AW380">
        <v>2</v>
      </c>
      <c r="AX380" t="s">
        <v>74</v>
      </c>
      <c r="AY380" t="s">
        <v>74</v>
      </c>
      <c r="AZ380" t="s">
        <v>74</v>
      </c>
      <c r="BA380" t="s">
        <v>74</v>
      </c>
      <c r="BB380" t="s">
        <v>74</v>
      </c>
      <c r="BC380" t="s">
        <v>74</v>
      </c>
      <c r="BD380" t="s">
        <v>6327</v>
      </c>
      <c r="BE380" t="s">
        <v>6328</v>
      </c>
      <c r="BF380" t="str">
        <f>HYPERLINK("http://dx.doi.org/10.1029/2006GB002714","http://dx.doi.org/10.1029/2006GB002714")</f>
        <v>http://dx.doi.org/10.1029/2006GB002714</v>
      </c>
      <c r="BG380" t="s">
        <v>74</v>
      </c>
      <c r="BH380" t="s">
        <v>74</v>
      </c>
      <c r="BI380">
        <v>17</v>
      </c>
      <c r="BJ380" t="s">
        <v>195</v>
      </c>
      <c r="BK380" t="s">
        <v>98</v>
      </c>
      <c r="BL380" t="s">
        <v>196</v>
      </c>
      <c r="BM380" t="s">
        <v>6329</v>
      </c>
      <c r="BN380" t="s">
        <v>74</v>
      </c>
      <c r="BO380" t="s">
        <v>304</v>
      </c>
      <c r="BP380" t="s">
        <v>74</v>
      </c>
      <c r="BQ380" t="s">
        <v>74</v>
      </c>
      <c r="BR380" t="s">
        <v>101</v>
      </c>
      <c r="BS380" t="s">
        <v>6330</v>
      </c>
      <c r="BT380" t="str">
        <f>HYPERLINK("https%3A%2F%2Fwww.webofscience.com%2Fwos%2Fwoscc%2Ffull-record%2FWOS:000246941000001","View Full Record in Web of Science")</f>
        <v>View Full Record in Web of Science</v>
      </c>
    </row>
    <row r="381" spans="1:72" x14ac:dyDescent="0.15">
      <c r="A381" t="s">
        <v>72</v>
      </c>
      <c r="B381" t="s">
        <v>6331</v>
      </c>
      <c r="C381" t="s">
        <v>74</v>
      </c>
      <c r="D381" t="s">
        <v>74</v>
      </c>
      <c r="E381" t="s">
        <v>74</v>
      </c>
      <c r="F381" t="s">
        <v>6332</v>
      </c>
      <c r="G381" t="s">
        <v>74</v>
      </c>
      <c r="H381" t="s">
        <v>74</v>
      </c>
      <c r="I381" t="s">
        <v>6333</v>
      </c>
      <c r="J381" t="s">
        <v>1046</v>
      </c>
      <c r="K381" t="s">
        <v>74</v>
      </c>
      <c r="L381" t="s">
        <v>74</v>
      </c>
      <c r="M381" t="s">
        <v>78</v>
      </c>
      <c r="N381" t="s">
        <v>79</v>
      </c>
      <c r="O381" t="s">
        <v>74</v>
      </c>
      <c r="P381" t="s">
        <v>74</v>
      </c>
      <c r="Q381" t="s">
        <v>74</v>
      </c>
      <c r="R381" t="s">
        <v>74</v>
      </c>
      <c r="S381" t="s">
        <v>74</v>
      </c>
      <c r="T381" t="s">
        <v>6334</v>
      </c>
      <c r="U381" t="s">
        <v>6335</v>
      </c>
      <c r="V381" t="s">
        <v>6336</v>
      </c>
      <c r="W381" t="s">
        <v>6337</v>
      </c>
      <c r="X381" t="s">
        <v>6338</v>
      </c>
      <c r="Y381" t="s">
        <v>6339</v>
      </c>
      <c r="Z381" t="s">
        <v>6340</v>
      </c>
      <c r="AA381" t="s">
        <v>6341</v>
      </c>
      <c r="AB381" t="s">
        <v>6342</v>
      </c>
      <c r="AC381" t="s">
        <v>74</v>
      </c>
      <c r="AD381" t="s">
        <v>74</v>
      </c>
      <c r="AE381" t="s">
        <v>74</v>
      </c>
      <c r="AF381" t="s">
        <v>74</v>
      </c>
      <c r="AG381">
        <v>29</v>
      </c>
      <c r="AH381">
        <v>16</v>
      </c>
      <c r="AI381">
        <v>16</v>
      </c>
      <c r="AJ381">
        <v>1</v>
      </c>
      <c r="AK381">
        <v>9</v>
      </c>
      <c r="AL381" t="s">
        <v>141</v>
      </c>
      <c r="AM381" t="s">
        <v>142</v>
      </c>
      <c r="AN381" t="s">
        <v>143</v>
      </c>
      <c r="AO381" t="s">
        <v>74</v>
      </c>
      <c r="AP381" t="s">
        <v>1054</v>
      </c>
      <c r="AQ381" t="s">
        <v>74</v>
      </c>
      <c r="AR381" t="s">
        <v>1055</v>
      </c>
      <c r="AS381" t="s">
        <v>1056</v>
      </c>
      <c r="AT381" t="s">
        <v>6343</v>
      </c>
      <c r="AU381">
        <v>2007</v>
      </c>
      <c r="AV381">
        <v>8</v>
      </c>
      <c r="AW381" t="s">
        <v>74</v>
      </c>
      <c r="AX381" t="s">
        <v>74</v>
      </c>
      <c r="AY381" t="s">
        <v>74</v>
      </c>
      <c r="AZ381" t="s">
        <v>74</v>
      </c>
      <c r="BA381" t="s">
        <v>74</v>
      </c>
      <c r="BB381" t="s">
        <v>74</v>
      </c>
      <c r="BC381" t="s">
        <v>74</v>
      </c>
      <c r="BD381" t="s">
        <v>6344</v>
      </c>
      <c r="BE381" t="s">
        <v>6345</v>
      </c>
      <c r="BF381" t="str">
        <f>HYPERLINK("http://dx.doi.org/10.1029/2006GC001532","http://dx.doi.org/10.1029/2006GC001532")</f>
        <v>http://dx.doi.org/10.1029/2006GC001532</v>
      </c>
      <c r="BG381" t="s">
        <v>74</v>
      </c>
      <c r="BH381" t="s">
        <v>74</v>
      </c>
      <c r="BI381">
        <v>10</v>
      </c>
      <c r="BJ381" t="s">
        <v>688</v>
      </c>
      <c r="BK381" t="s">
        <v>98</v>
      </c>
      <c r="BL381" t="s">
        <v>688</v>
      </c>
      <c r="BM381" t="s">
        <v>6346</v>
      </c>
      <c r="BN381" t="s">
        <v>74</v>
      </c>
      <c r="BO381" t="s">
        <v>304</v>
      </c>
      <c r="BP381" t="s">
        <v>74</v>
      </c>
      <c r="BQ381" t="s">
        <v>74</v>
      </c>
      <c r="BR381" t="s">
        <v>101</v>
      </c>
      <c r="BS381" t="s">
        <v>6347</v>
      </c>
      <c r="BT381" t="str">
        <f>HYPERLINK("https%3A%2F%2Fwww.webofscience.com%2Fwos%2Fwoscc%2Ffull-record%2FWOS:000246845500002","View Full Record in Web of Science")</f>
        <v>View Full Record in Web of Science</v>
      </c>
    </row>
    <row r="382" spans="1:72" x14ac:dyDescent="0.15">
      <c r="A382" t="s">
        <v>72</v>
      </c>
      <c r="B382" t="s">
        <v>6348</v>
      </c>
      <c r="C382" t="s">
        <v>74</v>
      </c>
      <c r="D382" t="s">
        <v>74</v>
      </c>
      <c r="E382" t="s">
        <v>74</v>
      </c>
      <c r="F382" t="s">
        <v>6349</v>
      </c>
      <c r="G382" t="s">
        <v>74</v>
      </c>
      <c r="H382" t="s">
        <v>74</v>
      </c>
      <c r="I382" t="s">
        <v>6350</v>
      </c>
      <c r="J382" t="s">
        <v>2957</v>
      </c>
      <c r="K382" t="s">
        <v>74</v>
      </c>
      <c r="L382" t="s">
        <v>74</v>
      </c>
      <c r="M382" t="s">
        <v>78</v>
      </c>
      <c r="N382" t="s">
        <v>79</v>
      </c>
      <c r="O382" t="s">
        <v>74</v>
      </c>
      <c r="P382" t="s">
        <v>74</v>
      </c>
      <c r="Q382" t="s">
        <v>74</v>
      </c>
      <c r="R382" t="s">
        <v>74</v>
      </c>
      <c r="S382" t="s">
        <v>74</v>
      </c>
      <c r="T382" t="s">
        <v>74</v>
      </c>
      <c r="U382" t="s">
        <v>6351</v>
      </c>
      <c r="V382" t="s">
        <v>6352</v>
      </c>
      <c r="W382" t="s">
        <v>6353</v>
      </c>
      <c r="X382" t="s">
        <v>6354</v>
      </c>
      <c r="Y382" t="s">
        <v>6355</v>
      </c>
      <c r="Z382" t="s">
        <v>6356</v>
      </c>
      <c r="AA382" t="s">
        <v>6357</v>
      </c>
      <c r="AB382" t="s">
        <v>6358</v>
      </c>
      <c r="AC382" t="s">
        <v>6359</v>
      </c>
      <c r="AD382" t="s">
        <v>140</v>
      </c>
      <c r="AE382" t="s">
        <v>74</v>
      </c>
      <c r="AF382" t="s">
        <v>74</v>
      </c>
      <c r="AG382">
        <v>43</v>
      </c>
      <c r="AH382">
        <v>41</v>
      </c>
      <c r="AI382">
        <v>47</v>
      </c>
      <c r="AJ382">
        <v>0</v>
      </c>
      <c r="AK382">
        <v>14</v>
      </c>
      <c r="AL382" t="s">
        <v>141</v>
      </c>
      <c r="AM382" t="s">
        <v>142</v>
      </c>
      <c r="AN382" t="s">
        <v>143</v>
      </c>
      <c r="AO382" t="s">
        <v>2966</v>
      </c>
      <c r="AP382" t="s">
        <v>2967</v>
      </c>
      <c r="AQ382" t="s">
        <v>74</v>
      </c>
      <c r="AR382" t="s">
        <v>2968</v>
      </c>
      <c r="AS382" t="s">
        <v>2969</v>
      </c>
      <c r="AT382" t="s">
        <v>6343</v>
      </c>
      <c r="AU382">
        <v>2007</v>
      </c>
      <c r="AV382">
        <v>112</v>
      </c>
      <c r="AW382" t="s">
        <v>2971</v>
      </c>
      <c r="AX382" t="s">
        <v>74</v>
      </c>
      <c r="AY382" t="s">
        <v>74</v>
      </c>
      <c r="AZ382" t="s">
        <v>74</v>
      </c>
      <c r="BA382" t="s">
        <v>74</v>
      </c>
      <c r="BB382" t="s">
        <v>74</v>
      </c>
      <c r="BC382" t="s">
        <v>74</v>
      </c>
      <c r="BD382" t="s">
        <v>6360</v>
      </c>
      <c r="BE382" t="s">
        <v>6361</v>
      </c>
      <c r="BF382" t="str">
        <f>HYPERLINK("http://dx.doi.org/10.1029/2006JF000556","http://dx.doi.org/10.1029/2006JF000556")</f>
        <v>http://dx.doi.org/10.1029/2006JF000556</v>
      </c>
      <c r="BG382" t="s">
        <v>74</v>
      </c>
      <c r="BH382" t="s">
        <v>74</v>
      </c>
      <c r="BI382">
        <v>11</v>
      </c>
      <c r="BJ382" t="s">
        <v>151</v>
      </c>
      <c r="BK382" t="s">
        <v>98</v>
      </c>
      <c r="BL382" t="s">
        <v>152</v>
      </c>
      <c r="BM382" t="s">
        <v>6362</v>
      </c>
      <c r="BN382" t="s">
        <v>74</v>
      </c>
      <c r="BO382" t="s">
        <v>198</v>
      </c>
      <c r="BP382" t="s">
        <v>74</v>
      </c>
      <c r="BQ382" t="s">
        <v>74</v>
      </c>
      <c r="BR382" t="s">
        <v>101</v>
      </c>
      <c r="BS382" t="s">
        <v>6363</v>
      </c>
      <c r="BT382" t="str">
        <f>HYPERLINK("https%3A%2F%2Fwww.webofscience.com%2Fwos%2Fwoscc%2Ffull-record%2FWOS:000246848400002","View Full Record in Web of Science")</f>
        <v>View Full Record in Web of Science</v>
      </c>
    </row>
    <row r="383" spans="1:72" x14ac:dyDescent="0.15">
      <c r="A383" t="s">
        <v>72</v>
      </c>
      <c r="B383" t="s">
        <v>6364</v>
      </c>
      <c r="C383" t="s">
        <v>74</v>
      </c>
      <c r="D383" t="s">
        <v>74</v>
      </c>
      <c r="E383" t="s">
        <v>74</v>
      </c>
      <c r="F383" t="s">
        <v>6365</v>
      </c>
      <c r="G383" t="s">
        <v>74</v>
      </c>
      <c r="H383" t="s">
        <v>74</v>
      </c>
      <c r="I383" t="s">
        <v>6366</v>
      </c>
      <c r="J383" t="s">
        <v>130</v>
      </c>
      <c r="K383" t="s">
        <v>74</v>
      </c>
      <c r="L383" t="s">
        <v>74</v>
      </c>
      <c r="M383" t="s">
        <v>78</v>
      </c>
      <c r="N383" t="s">
        <v>79</v>
      </c>
      <c r="O383" t="s">
        <v>74</v>
      </c>
      <c r="P383" t="s">
        <v>74</v>
      </c>
      <c r="Q383" t="s">
        <v>74</v>
      </c>
      <c r="R383" t="s">
        <v>74</v>
      </c>
      <c r="S383" t="s">
        <v>74</v>
      </c>
      <c r="T383" t="s">
        <v>74</v>
      </c>
      <c r="U383" t="s">
        <v>6367</v>
      </c>
      <c r="V383" t="s">
        <v>6368</v>
      </c>
      <c r="W383" t="s">
        <v>6369</v>
      </c>
      <c r="X383" t="s">
        <v>6370</v>
      </c>
      <c r="Y383" t="s">
        <v>6371</v>
      </c>
      <c r="Z383" t="s">
        <v>6372</v>
      </c>
      <c r="AA383" t="s">
        <v>6373</v>
      </c>
      <c r="AB383" t="s">
        <v>6374</v>
      </c>
      <c r="AC383" t="s">
        <v>74</v>
      </c>
      <c r="AD383" t="s">
        <v>74</v>
      </c>
      <c r="AE383" t="s">
        <v>74</v>
      </c>
      <c r="AF383" t="s">
        <v>74</v>
      </c>
      <c r="AG383">
        <v>27</v>
      </c>
      <c r="AH383">
        <v>22</v>
      </c>
      <c r="AI383">
        <v>22</v>
      </c>
      <c r="AJ383">
        <v>0</v>
      </c>
      <c r="AK383">
        <v>6</v>
      </c>
      <c r="AL383" t="s">
        <v>141</v>
      </c>
      <c r="AM383" t="s">
        <v>142</v>
      </c>
      <c r="AN383" t="s">
        <v>143</v>
      </c>
      <c r="AO383" t="s">
        <v>144</v>
      </c>
      <c r="AP383" t="s">
        <v>145</v>
      </c>
      <c r="AQ383" t="s">
        <v>74</v>
      </c>
      <c r="AR383" t="s">
        <v>146</v>
      </c>
      <c r="AS383" t="s">
        <v>147</v>
      </c>
      <c r="AT383" t="s">
        <v>6375</v>
      </c>
      <c r="AU383">
        <v>2007</v>
      </c>
      <c r="AV383">
        <v>34</v>
      </c>
      <c r="AW383">
        <v>10</v>
      </c>
      <c r="AX383" t="s">
        <v>74</v>
      </c>
      <c r="AY383" t="s">
        <v>74</v>
      </c>
      <c r="AZ383" t="s">
        <v>74</v>
      </c>
      <c r="BA383" t="s">
        <v>74</v>
      </c>
      <c r="BB383" t="s">
        <v>74</v>
      </c>
      <c r="BC383" t="s">
        <v>74</v>
      </c>
      <c r="BD383" t="s">
        <v>6376</v>
      </c>
      <c r="BE383" t="s">
        <v>6377</v>
      </c>
      <c r="BF383" t="str">
        <f>HYPERLINK("http://dx.doi.org/10.1029/2007GL029419","http://dx.doi.org/10.1029/2007GL029419")</f>
        <v>http://dx.doi.org/10.1029/2007GL029419</v>
      </c>
      <c r="BG383" t="s">
        <v>74</v>
      </c>
      <c r="BH383" t="s">
        <v>74</v>
      </c>
      <c r="BI383">
        <v>5</v>
      </c>
      <c r="BJ383" t="s">
        <v>151</v>
      </c>
      <c r="BK383" t="s">
        <v>98</v>
      </c>
      <c r="BL383" t="s">
        <v>152</v>
      </c>
      <c r="BM383" t="s">
        <v>6378</v>
      </c>
      <c r="BN383" t="s">
        <v>74</v>
      </c>
      <c r="BO383" t="s">
        <v>154</v>
      </c>
      <c r="BP383" t="s">
        <v>74</v>
      </c>
      <c r="BQ383" t="s">
        <v>74</v>
      </c>
      <c r="BR383" t="s">
        <v>101</v>
      </c>
      <c r="BS383" t="s">
        <v>6379</v>
      </c>
      <c r="BT383" t="str">
        <f>HYPERLINK("https%3A%2F%2Fwww.webofscience.com%2Fwos%2Fwoscc%2Ffull-record%2FWOS:000246845800001","View Full Record in Web of Science")</f>
        <v>View Full Record in Web of Science</v>
      </c>
    </row>
    <row r="384" spans="1:72" x14ac:dyDescent="0.15">
      <c r="A384" t="s">
        <v>72</v>
      </c>
      <c r="B384" t="s">
        <v>6380</v>
      </c>
      <c r="C384" t="s">
        <v>74</v>
      </c>
      <c r="D384" t="s">
        <v>74</v>
      </c>
      <c r="E384" t="s">
        <v>74</v>
      </c>
      <c r="F384" t="s">
        <v>6381</v>
      </c>
      <c r="G384" t="s">
        <v>74</v>
      </c>
      <c r="H384" t="s">
        <v>74</v>
      </c>
      <c r="I384" t="s">
        <v>6382</v>
      </c>
      <c r="J384" t="s">
        <v>203</v>
      </c>
      <c r="K384" t="s">
        <v>74</v>
      </c>
      <c r="L384" t="s">
        <v>74</v>
      </c>
      <c r="M384" t="s">
        <v>78</v>
      </c>
      <c r="N384" t="s">
        <v>79</v>
      </c>
      <c r="O384" t="s">
        <v>74</v>
      </c>
      <c r="P384" t="s">
        <v>74</v>
      </c>
      <c r="Q384" t="s">
        <v>74</v>
      </c>
      <c r="R384" t="s">
        <v>74</v>
      </c>
      <c r="S384" t="s">
        <v>74</v>
      </c>
      <c r="T384" t="s">
        <v>74</v>
      </c>
      <c r="U384" t="s">
        <v>6383</v>
      </c>
      <c r="V384" t="s">
        <v>6384</v>
      </c>
      <c r="W384" t="s">
        <v>6385</v>
      </c>
      <c r="X384" t="s">
        <v>6386</v>
      </c>
      <c r="Y384" t="s">
        <v>6387</v>
      </c>
      <c r="Z384" t="s">
        <v>6388</v>
      </c>
      <c r="AA384" t="s">
        <v>6389</v>
      </c>
      <c r="AB384" t="s">
        <v>6390</v>
      </c>
      <c r="AC384" t="s">
        <v>6391</v>
      </c>
      <c r="AD384" t="s">
        <v>361</v>
      </c>
      <c r="AE384" t="s">
        <v>74</v>
      </c>
      <c r="AF384" t="s">
        <v>74</v>
      </c>
      <c r="AG384">
        <v>44</v>
      </c>
      <c r="AH384">
        <v>35</v>
      </c>
      <c r="AI384">
        <v>36</v>
      </c>
      <c r="AJ384">
        <v>0</v>
      </c>
      <c r="AK384">
        <v>14</v>
      </c>
      <c r="AL384" t="s">
        <v>141</v>
      </c>
      <c r="AM384" t="s">
        <v>142</v>
      </c>
      <c r="AN384" t="s">
        <v>143</v>
      </c>
      <c r="AO384" t="s">
        <v>213</v>
      </c>
      <c r="AP384" t="s">
        <v>214</v>
      </c>
      <c r="AQ384" t="s">
        <v>74</v>
      </c>
      <c r="AR384" t="s">
        <v>215</v>
      </c>
      <c r="AS384" t="s">
        <v>216</v>
      </c>
      <c r="AT384" t="s">
        <v>6375</v>
      </c>
      <c r="AU384">
        <v>2007</v>
      </c>
      <c r="AV384">
        <v>112</v>
      </c>
      <c r="AW384" t="s">
        <v>6392</v>
      </c>
      <c r="AX384" t="s">
        <v>74</v>
      </c>
      <c r="AY384" t="s">
        <v>74</v>
      </c>
      <c r="AZ384" t="s">
        <v>74</v>
      </c>
      <c r="BA384" t="s">
        <v>74</v>
      </c>
      <c r="BB384" t="s">
        <v>74</v>
      </c>
      <c r="BC384" t="s">
        <v>74</v>
      </c>
      <c r="BD384" t="s">
        <v>6393</v>
      </c>
      <c r="BE384" t="s">
        <v>6394</v>
      </c>
      <c r="BF384" t="str">
        <f>HYPERLINK("http://dx.doi.org/10.1029/2006JC003915","http://dx.doi.org/10.1029/2006JC003915")</f>
        <v>http://dx.doi.org/10.1029/2006JC003915</v>
      </c>
      <c r="BG384" t="s">
        <v>74</v>
      </c>
      <c r="BH384" t="s">
        <v>74</v>
      </c>
      <c r="BI384">
        <v>12</v>
      </c>
      <c r="BJ384" t="s">
        <v>221</v>
      </c>
      <c r="BK384" t="s">
        <v>98</v>
      </c>
      <c r="BL384" t="s">
        <v>221</v>
      </c>
      <c r="BM384" t="s">
        <v>6395</v>
      </c>
      <c r="BN384" t="s">
        <v>74</v>
      </c>
      <c r="BO384" t="s">
        <v>177</v>
      </c>
      <c r="BP384" t="s">
        <v>74</v>
      </c>
      <c r="BQ384" t="s">
        <v>74</v>
      </c>
      <c r="BR384" t="s">
        <v>101</v>
      </c>
      <c r="BS384" t="s">
        <v>6396</v>
      </c>
      <c r="BT384" t="str">
        <f>HYPERLINK("https%3A%2F%2Fwww.webofscience.com%2Fwos%2Fwoscc%2Ffull-record%2FWOS:000246848900003","View Full Record in Web of Science")</f>
        <v>View Full Record in Web of Science</v>
      </c>
    </row>
    <row r="385" spans="1:72" x14ac:dyDescent="0.15">
      <c r="A385" t="s">
        <v>72</v>
      </c>
      <c r="B385" t="s">
        <v>6397</v>
      </c>
      <c r="C385" t="s">
        <v>74</v>
      </c>
      <c r="D385" t="s">
        <v>74</v>
      </c>
      <c r="E385" t="s">
        <v>74</v>
      </c>
      <c r="F385" t="s">
        <v>6398</v>
      </c>
      <c r="G385" t="s">
        <v>74</v>
      </c>
      <c r="H385" t="s">
        <v>74</v>
      </c>
      <c r="I385" t="s">
        <v>6399</v>
      </c>
      <c r="J385" t="s">
        <v>289</v>
      </c>
      <c r="K385" t="s">
        <v>74</v>
      </c>
      <c r="L385" t="s">
        <v>74</v>
      </c>
      <c r="M385" t="s">
        <v>78</v>
      </c>
      <c r="N385" t="s">
        <v>79</v>
      </c>
      <c r="O385" t="s">
        <v>74</v>
      </c>
      <c r="P385" t="s">
        <v>74</v>
      </c>
      <c r="Q385" t="s">
        <v>74</v>
      </c>
      <c r="R385" t="s">
        <v>74</v>
      </c>
      <c r="S385" t="s">
        <v>74</v>
      </c>
      <c r="T385" t="s">
        <v>74</v>
      </c>
      <c r="U385" t="s">
        <v>6400</v>
      </c>
      <c r="V385" t="s">
        <v>6401</v>
      </c>
      <c r="W385" t="s">
        <v>6402</v>
      </c>
      <c r="X385" t="s">
        <v>6403</v>
      </c>
      <c r="Y385" t="s">
        <v>6404</v>
      </c>
      <c r="Z385" t="s">
        <v>6405</v>
      </c>
      <c r="AA385" t="s">
        <v>6406</v>
      </c>
      <c r="AB385" t="s">
        <v>6407</v>
      </c>
      <c r="AC385" t="s">
        <v>3171</v>
      </c>
      <c r="AD385" t="s">
        <v>3172</v>
      </c>
      <c r="AE385" t="s">
        <v>74</v>
      </c>
      <c r="AF385" t="s">
        <v>74</v>
      </c>
      <c r="AG385">
        <v>69</v>
      </c>
      <c r="AH385">
        <v>145</v>
      </c>
      <c r="AI385">
        <v>152</v>
      </c>
      <c r="AJ385">
        <v>0</v>
      </c>
      <c r="AK385">
        <v>49</v>
      </c>
      <c r="AL385" t="s">
        <v>141</v>
      </c>
      <c r="AM385" t="s">
        <v>142</v>
      </c>
      <c r="AN385" t="s">
        <v>143</v>
      </c>
      <c r="AO385" t="s">
        <v>296</v>
      </c>
      <c r="AP385" t="s">
        <v>74</v>
      </c>
      <c r="AQ385" t="s">
        <v>74</v>
      </c>
      <c r="AR385" t="s">
        <v>289</v>
      </c>
      <c r="AS385" t="s">
        <v>298</v>
      </c>
      <c r="AT385" t="s">
        <v>6375</v>
      </c>
      <c r="AU385">
        <v>2007</v>
      </c>
      <c r="AV385">
        <v>22</v>
      </c>
      <c r="AW385">
        <v>2</v>
      </c>
      <c r="AX385" t="s">
        <v>74</v>
      </c>
      <c r="AY385" t="s">
        <v>74</v>
      </c>
      <c r="AZ385" t="s">
        <v>74</v>
      </c>
      <c r="BA385" t="s">
        <v>74</v>
      </c>
      <c r="BB385" t="s">
        <v>74</v>
      </c>
      <c r="BC385" t="s">
        <v>74</v>
      </c>
      <c r="BD385" t="s">
        <v>6408</v>
      </c>
      <c r="BE385" t="s">
        <v>6409</v>
      </c>
      <c r="BF385" t="str">
        <f>HYPERLINK("http://dx.doi.org/10.1029/2006PA001328","http://dx.doi.org/10.1029/2006PA001328")</f>
        <v>http://dx.doi.org/10.1029/2006PA001328</v>
      </c>
      <c r="BG385" t="s">
        <v>74</v>
      </c>
      <c r="BH385" t="s">
        <v>74</v>
      </c>
      <c r="BI385">
        <v>17</v>
      </c>
      <c r="BJ385" t="s">
        <v>301</v>
      </c>
      <c r="BK385" t="s">
        <v>98</v>
      </c>
      <c r="BL385" t="s">
        <v>302</v>
      </c>
      <c r="BM385" t="s">
        <v>6410</v>
      </c>
      <c r="BN385" t="s">
        <v>74</v>
      </c>
      <c r="BO385" t="s">
        <v>6411</v>
      </c>
      <c r="BP385" t="s">
        <v>74</v>
      </c>
      <c r="BQ385" t="s">
        <v>74</v>
      </c>
      <c r="BR385" t="s">
        <v>101</v>
      </c>
      <c r="BS385" t="s">
        <v>6412</v>
      </c>
      <c r="BT385" t="str">
        <f>HYPERLINK("https%3A%2F%2Fwww.webofscience.com%2Fwos%2Fwoscc%2Ffull-record%2FWOS:000246850400001","View Full Record in Web of Science")</f>
        <v>View Full Record in Web of Science</v>
      </c>
    </row>
    <row r="386" spans="1:72" x14ac:dyDescent="0.15">
      <c r="A386" t="s">
        <v>72</v>
      </c>
      <c r="B386" t="s">
        <v>6413</v>
      </c>
      <c r="C386" t="s">
        <v>74</v>
      </c>
      <c r="D386" t="s">
        <v>74</v>
      </c>
      <c r="E386" t="s">
        <v>74</v>
      </c>
      <c r="F386" t="s">
        <v>6414</v>
      </c>
      <c r="G386" t="s">
        <v>74</v>
      </c>
      <c r="H386" t="s">
        <v>74</v>
      </c>
      <c r="I386" t="s">
        <v>6415</v>
      </c>
      <c r="J386" t="s">
        <v>6416</v>
      </c>
      <c r="K386" t="s">
        <v>74</v>
      </c>
      <c r="L386" t="s">
        <v>74</v>
      </c>
      <c r="M386" t="s">
        <v>78</v>
      </c>
      <c r="N386" t="s">
        <v>79</v>
      </c>
      <c r="O386" t="s">
        <v>74</v>
      </c>
      <c r="P386" t="s">
        <v>74</v>
      </c>
      <c r="Q386" t="s">
        <v>74</v>
      </c>
      <c r="R386" t="s">
        <v>74</v>
      </c>
      <c r="S386" t="s">
        <v>74</v>
      </c>
      <c r="T386" t="s">
        <v>74</v>
      </c>
      <c r="U386" t="s">
        <v>6417</v>
      </c>
      <c r="V386" t="s">
        <v>6418</v>
      </c>
      <c r="W386" t="s">
        <v>6419</v>
      </c>
      <c r="X386" t="s">
        <v>6420</v>
      </c>
      <c r="Y386" t="s">
        <v>6421</v>
      </c>
      <c r="Z386" t="s">
        <v>6422</v>
      </c>
      <c r="AA386" t="s">
        <v>74</v>
      </c>
      <c r="AB386" t="s">
        <v>74</v>
      </c>
      <c r="AC386" t="s">
        <v>74</v>
      </c>
      <c r="AD386" t="s">
        <v>74</v>
      </c>
      <c r="AE386" t="s">
        <v>74</v>
      </c>
      <c r="AF386" t="s">
        <v>74</v>
      </c>
      <c r="AG386">
        <v>55</v>
      </c>
      <c r="AH386">
        <v>19</v>
      </c>
      <c r="AI386">
        <v>21</v>
      </c>
      <c r="AJ386">
        <v>1</v>
      </c>
      <c r="AK386">
        <v>16</v>
      </c>
      <c r="AL386" t="s">
        <v>1073</v>
      </c>
      <c r="AM386" t="s">
        <v>363</v>
      </c>
      <c r="AN386" t="s">
        <v>1074</v>
      </c>
      <c r="AO386" t="s">
        <v>74</v>
      </c>
      <c r="AP386" t="s">
        <v>6423</v>
      </c>
      <c r="AQ386" t="s">
        <v>74</v>
      </c>
      <c r="AR386" t="s">
        <v>6424</v>
      </c>
      <c r="AS386" t="s">
        <v>6425</v>
      </c>
      <c r="AT386" t="s">
        <v>6426</v>
      </c>
      <c r="AU386">
        <v>2007</v>
      </c>
      <c r="AV386">
        <v>8</v>
      </c>
      <c r="AW386" t="s">
        <v>74</v>
      </c>
      <c r="AX386" t="s">
        <v>74</v>
      </c>
      <c r="AY386" t="s">
        <v>74</v>
      </c>
      <c r="AZ386" t="s">
        <v>74</v>
      </c>
      <c r="BA386" t="s">
        <v>74</v>
      </c>
      <c r="BB386" t="s">
        <v>74</v>
      </c>
      <c r="BC386" t="s">
        <v>74</v>
      </c>
      <c r="BD386">
        <v>7</v>
      </c>
      <c r="BE386" t="s">
        <v>6427</v>
      </c>
      <c r="BF386" t="str">
        <f>HYPERLINK("http://dx.doi.org/10.1186/1471-2172-8-7","http://dx.doi.org/10.1186/1471-2172-8-7")</f>
        <v>http://dx.doi.org/10.1186/1471-2172-8-7</v>
      </c>
      <c r="BG386" t="s">
        <v>74</v>
      </c>
      <c r="BH386" t="s">
        <v>74</v>
      </c>
      <c r="BI386">
        <v>13</v>
      </c>
      <c r="BJ386" t="s">
        <v>6428</v>
      </c>
      <c r="BK386" t="s">
        <v>98</v>
      </c>
      <c r="BL386" t="s">
        <v>6428</v>
      </c>
      <c r="BM386" t="s">
        <v>6429</v>
      </c>
      <c r="BN386">
        <v>17521440</v>
      </c>
      <c r="BO386" t="s">
        <v>1082</v>
      </c>
      <c r="BP386" t="s">
        <v>74</v>
      </c>
      <c r="BQ386" t="s">
        <v>74</v>
      </c>
      <c r="BR386" t="s">
        <v>101</v>
      </c>
      <c r="BS386" t="s">
        <v>6430</v>
      </c>
      <c r="BT386" t="str">
        <f>HYPERLINK("https%3A%2F%2Fwww.webofscience.com%2Fwos%2Fwoscc%2Ffull-record%2FWOS:000247214600001","View Full Record in Web of Science")</f>
        <v>View Full Record in Web of Science</v>
      </c>
    </row>
    <row r="387" spans="1:72" x14ac:dyDescent="0.15">
      <c r="A387" t="s">
        <v>72</v>
      </c>
      <c r="B387" t="s">
        <v>6431</v>
      </c>
      <c r="C387" t="s">
        <v>74</v>
      </c>
      <c r="D387" t="s">
        <v>74</v>
      </c>
      <c r="E387" t="s">
        <v>74</v>
      </c>
      <c r="F387" t="s">
        <v>6432</v>
      </c>
      <c r="G387" t="s">
        <v>74</v>
      </c>
      <c r="H387" t="s">
        <v>74</v>
      </c>
      <c r="I387" t="s">
        <v>6433</v>
      </c>
      <c r="J387" t="s">
        <v>6434</v>
      </c>
      <c r="K387" t="s">
        <v>74</v>
      </c>
      <c r="L387" t="s">
        <v>74</v>
      </c>
      <c r="M387" t="s">
        <v>78</v>
      </c>
      <c r="N387" t="s">
        <v>79</v>
      </c>
      <c r="O387" t="s">
        <v>74</v>
      </c>
      <c r="P387" t="s">
        <v>74</v>
      </c>
      <c r="Q387" t="s">
        <v>74</v>
      </c>
      <c r="R387" t="s">
        <v>74</v>
      </c>
      <c r="S387" t="s">
        <v>74</v>
      </c>
      <c r="T387" t="s">
        <v>74</v>
      </c>
      <c r="U387" t="s">
        <v>6435</v>
      </c>
      <c r="V387" t="s">
        <v>6436</v>
      </c>
      <c r="W387" t="s">
        <v>6437</v>
      </c>
      <c r="X387" t="s">
        <v>6438</v>
      </c>
      <c r="Y387" t="s">
        <v>6439</v>
      </c>
      <c r="Z387" t="s">
        <v>6440</v>
      </c>
      <c r="AA387" t="s">
        <v>6441</v>
      </c>
      <c r="AB387" t="s">
        <v>6442</v>
      </c>
      <c r="AC387" t="s">
        <v>74</v>
      </c>
      <c r="AD387" t="s">
        <v>74</v>
      </c>
      <c r="AE387" t="s">
        <v>74</v>
      </c>
      <c r="AF387" t="s">
        <v>74</v>
      </c>
      <c r="AG387">
        <v>28</v>
      </c>
      <c r="AH387">
        <v>10</v>
      </c>
      <c r="AI387">
        <v>10</v>
      </c>
      <c r="AJ387">
        <v>1</v>
      </c>
      <c r="AK387">
        <v>7</v>
      </c>
      <c r="AL387" t="s">
        <v>337</v>
      </c>
      <c r="AM387" t="s">
        <v>142</v>
      </c>
      <c r="AN387" t="s">
        <v>338</v>
      </c>
      <c r="AO387" t="s">
        <v>6443</v>
      </c>
      <c r="AP387" t="s">
        <v>74</v>
      </c>
      <c r="AQ387" t="s">
        <v>74</v>
      </c>
      <c r="AR387" t="s">
        <v>6444</v>
      </c>
      <c r="AS387" t="s">
        <v>6445</v>
      </c>
      <c r="AT387" t="s">
        <v>6426</v>
      </c>
      <c r="AU387">
        <v>2007</v>
      </c>
      <c r="AV387">
        <v>46</v>
      </c>
      <c r="AW387">
        <v>11</v>
      </c>
      <c r="AX387" t="s">
        <v>74</v>
      </c>
      <c r="AY387" t="s">
        <v>74</v>
      </c>
      <c r="AZ387" t="s">
        <v>74</v>
      </c>
      <c r="BA387" t="s">
        <v>74</v>
      </c>
      <c r="BB387">
        <v>3766</v>
      </c>
      <c r="BC387">
        <v>3773</v>
      </c>
      <c r="BD387" t="s">
        <v>74</v>
      </c>
      <c r="BE387" t="s">
        <v>6446</v>
      </c>
      <c r="BF387" t="str">
        <f>HYPERLINK("http://dx.doi.org/10.1021/ie0615436","http://dx.doi.org/10.1021/ie0615436")</f>
        <v>http://dx.doi.org/10.1021/ie0615436</v>
      </c>
      <c r="BG387" t="s">
        <v>74</v>
      </c>
      <c r="BH387" t="s">
        <v>74</v>
      </c>
      <c r="BI387">
        <v>8</v>
      </c>
      <c r="BJ387" t="s">
        <v>6447</v>
      </c>
      <c r="BK387" t="s">
        <v>98</v>
      </c>
      <c r="BL387" t="s">
        <v>6448</v>
      </c>
      <c r="BM387" t="s">
        <v>6449</v>
      </c>
      <c r="BN387" t="s">
        <v>74</v>
      </c>
      <c r="BO387" t="s">
        <v>74</v>
      </c>
      <c r="BP387" t="s">
        <v>74</v>
      </c>
      <c r="BQ387" t="s">
        <v>74</v>
      </c>
      <c r="BR387" t="s">
        <v>101</v>
      </c>
      <c r="BS387" t="s">
        <v>6450</v>
      </c>
      <c r="BT387" t="str">
        <f>HYPERLINK("https%3A%2F%2Fwww.webofscience.com%2Fwos%2Fwoscc%2Ffull-record%2FWOS:000246485900031","View Full Record in Web of Science")</f>
        <v>View Full Record in Web of Science</v>
      </c>
    </row>
    <row r="388" spans="1:72" x14ac:dyDescent="0.15">
      <c r="A388" t="s">
        <v>72</v>
      </c>
      <c r="B388" t="s">
        <v>6451</v>
      </c>
      <c r="C388" t="s">
        <v>74</v>
      </c>
      <c r="D388" t="s">
        <v>74</v>
      </c>
      <c r="E388" t="s">
        <v>74</v>
      </c>
      <c r="F388" t="s">
        <v>6452</v>
      </c>
      <c r="G388" t="s">
        <v>74</v>
      </c>
      <c r="H388" t="s">
        <v>74</v>
      </c>
      <c r="I388" t="s">
        <v>6453</v>
      </c>
      <c r="J388" t="s">
        <v>2957</v>
      </c>
      <c r="K388" t="s">
        <v>74</v>
      </c>
      <c r="L388" t="s">
        <v>74</v>
      </c>
      <c r="M388" t="s">
        <v>78</v>
      </c>
      <c r="N388" t="s">
        <v>79</v>
      </c>
      <c r="O388" t="s">
        <v>74</v>
      </c>
      <c r="P388" t="s">
        <v>74</v>
      </c>
      <c r="Q388" t="s">
        <v>74</v>
      </c>
      <c r="R388" t="s">
        <v>74</v>
      </c>
      <c r="S388" t="s">
        <v>74</v>
      </c>
      <c r="T388" t="s">
        <v>74</v>
      </c>
      <c r="U388" t="s">
        <v>6454</v>
      </c>
      <c r="V388" t="s">
        <v>6455</v>
      </c>
      <c r="W388" t="s">
        <v>6456</v>
      </c>
      <c r="X388" t="s">
        <v>6457</v>
      </c>
      <c r="Y388" t="s">
        <v>6458</v>
      </c>
      <c r="Z388" t="s">
        <v>6459</v>
      </c>
      <c r="AA388" t="s">
        <v>4715</v>
      </c>
      <c r="AB388" t="s">
        <v>6460</v>
      </c>
      <c r="AC388" t="s">
        <v>74</v>
      </c>
      <c r="AD388" t="s">
        <v>74</v>
      </c>
      <c r="AE388" t="s">
        <v>74</v>
      </c>
      <c r="AF388" t="s">
        <v>74</v>
      </c>
      <c r="AG388">
        <v>50</v>
      </c>
      <c r="AH388">
        <v>102</v>
      </c>
      <c r="AI388">
        <v>117</v>
      </c>
      <c r="AJ388">
        <v>0</v>
      </c>
      <c r="AK388">
        <v>20</v>
      </c>
      <c r="AL388" t="s">
        <v>141</v>
      </c>
      <c r="AM388" t="s">
        <v>142</v>
      </c>
      <c r="AN388" t="s">
        <v>143</v>
      </c>
      <c r="AO388" t="s">
        <v>2966</v>
      </c>
      <c r="AP388" t="s">
        <v>2967</v>
      </c>
      <c r="AQ388" t="s">
        <v>74</v>
      </c>
      <c r="AR388" t="s">
        <v>2968</v>
      </c>
      <c r="AS388" t="s">
        <v>2969</v>
      </c>
      <c r="AT388" t="s">
        <v>6426</v>
      </c>
      <c r="AU388">
        <v>2007</v>
      </c>
      <c r="AV388">
        <v>112</v>
      </c>
      <c r="AW388" t="s">
        <v>2971</v>
      </c>
      <c r="AX388" t="s">
        <v>74</v>
      </c>
      <c r="AY388" t="s">
        <v>74</v>
      </c>
      <c r="AZ388" t="s">
        <v>74</v>
      </c>
      <c r="BA388" t="s">
        <v>74</v>
      </c>
      <c r="BB388" t="s">
        <v>74</v>
      </c>
      <c r="BC388" t="s">
        <v>74</v>
      </c>
      <c r="BD388" t="s">
        <v>6461</v>
      </c>
      <c r="BE388" t="s">
        <v>6462</v>
      </c>
      <c r="BF388" t="str">
        <f>HYPERLINK("http://dx.doi.org/10.1029/2006JF000603","http://dx.doi.org/10.1029/2006JF000603")</f>
        <v>http://dx.doi.org/10.1029/2006JF000603</v>
      </c>
      <c r="BG388" t="s">
        <v>74</v>
      </c>
      <c r="BH388" t="s">
        <v>74</v>
      </c>
      <c r="BI388">
        <v>11</v>
      </c>
      <c r="BJ388" t="s">
        <v>151</v>
      </c>
      <c r="BK388" t="s">
        <v>98</v>
      </c>
      <c r="BL388" t="s">
        <v>152</v>
      </c>
      <c r="BM388" t="s">
        <v>6463</v>
      </c>
      <c r="BN388" t="s">
        <v>74</v>
      </c>
      <c r="BO388" t="s">
        <v>154</v>
      </c>
      <c r="BP388" t="s">
        <v>74</v>
      </c>
      <c r="BQ388" t="s">
        <v>74</v>
      </c>
      <c r="BR388" t="s">
        <v>101</v>
      </c>
      <c r="BS388" t="s">
        <v>6464</v>
      </c>
      <c r="BT388" t="str">
        <f>HYPERLINK("https%3A%2F%2Fwww.webofscience.com%2Fwos%2Fwoscc%2Ffull-record%2FWOS:000246848200001","View Full Record in Web of Science")</f>
        <v>View Full Record in Web of Science</v>
      </c>
    </row>
    <row r="389" spans="1:72" x14ac:dyDescent="0.15">
      <c r="A389" t="s">
        <v>72</v>
      </c>
      <c r="B389" t="s">
        <v>6465</v>
      </c>
      <c r="C389" t="s">
        <v>74</v>
      </c>
      <c r="D389" t="s">
        <v>74</v>
      </c>
      <c r="E389" t="s">
        <v>74</v>
      </c>
      <c r="F389" t="s">
        <v>6466</v>
      </c>
      <c r="G389" t="s">
        <v>74</v>
      </c>
      <c r="H389" t="s">
        <v>74</v>
      </c>
      <c r="I389" t="s">
        <v>6467</v>
      </c>
      <c r="J389" t="s">
        <v>6468</v>
      </c>
      <c r="K389" t="s">
        <v>74</v>
      </c>
      <c r="L389" t="s">
        <v>74</v>
      </c>
      <c r="M389" t="s">
        <v>78</v>
      </c>
      <c r="N389" t="s">
        <v>79</v>
      </c>
      <c r="O389" t="s">
        <v>74</v>
      </c>
      <c r="P389" t="s">
        <v>74</v>
      </c>
      <c r="Q389" t="s">
        <v>74</v>
      </c>
      <c r="R389" t="s">
        <v>74</v>
      </c>
      <c r="S389" t="s">
        <v>74</v>
      </c>
      <c r="T389" t="s">
        <v>74</v>
      </c>
      <c r="U389" t="s">
        <v>6469</v>
      </c>
      <c r="V389" t="s">
        <v>6470</v>
      </c>
      <c r="W389" t="s">
        <v>6471</v>
      </c>
      <c r="X389" t="s">
        <v>6472</v>
      </c>
      <c r="Y389" t="s">
        <v>6473</v>
      </c>
      <c r="Z389" t="s">
        <v>6474</v>
      </c>
      <c r="AA389" t="s">
        <v>6475</v>
      </c>
      <c r="AB389" t="s">
        <v>6476</v>
      </c>
      <c r="AC389" t="s">
        <v>6477</v>
      </c>
      <c r="AD389" t="s">
        <v>6478</v>
      </c>
      <c r="AE389" t="s">
        <v>74</v>
      </c>
      <c r="AF389" t="s">
        <v>74</v>
      </c>
      <c r="AG389">
        <v>20</v>
      </c>
      <c r="AH389">
        <v>105</v>
      </c>
      <c r="AI389">
        <v>125</v>
      </c>
      <c r="AJ389">
        <v>0</v>
      </c>
      <c r="AK389">
        <v>33</v>
      </c>
      <c r="AL389" t="s">
        <v>337</v>
      </c>
      <c r="AM389" t="s">
        <v>142</v>
      </c>
      <c r="AN389" t="s">
        <v>338</v>
      </c>
      <c r="AO389" t="s">
        <v>6479</v>
      </c>
      <c r="AP389" t="s">
        <v>6480</v>
      </c>
      <c r="AQ389" t="s">
        <v>74</v>
      </c>
      <c r="AR389" t="s">
        <v>6481</v>
      </c>
      <c r="AS389" t="s">
        <v>6482</v>
      </c>
      <c r="AT389" t="s">
        <v>6426</v>
      </c>
      <c r="AU389">
        <v>2007</v>
      </c>
      <c r="AV389">
        <v>129</v>
      </c>
      <c r="AW389">
        <v>20</v>
      </c>
      <c r="AX389" t="s">
        <v>74</v>
      </c>
      <c r="AY389" t="s">
        <v>74</v>
      </c>
      <c r="AZ389" t="s">
        <v>74</v>
      </c>
      <c r="BA389" t="s">
        <v>74</v>
      </c>
      <c r="BB389">
        <v>6386</v>
      </c>
      <c r="BC389" t="s">
        <v>5541</v>
      </c>
      <c r="BD389" t="s">
        <v>74</v>
      </c>
      <c r="BE389" t="s">
        <v>6483</v>
      </c>
      <c r="BF389" t="str">
        <f>HYPERLINK("http://dx.doi.org/10.1021/ja0715142","http://dx.doi.org/10.1021/ja0715142")</f>
        <v>http://dx.doi.org/10.1021/ja0715142</v>
      </c>
      <c r="BG389" t="s">
        <v>74</v>
      </c>
      <c r="BH389" t="s">
        <v>74</v>
      </c>
      <c r="BI389">
        <v>3</v>
      </c>
      <c r="BJ389" t="s">
        <v>6484</v>
      </c>
      <c r="BK389" t="s">
        <v>6485</v>
      </c>
      <c r="BL389" t="s">
        <v>6486</v>
      </c>
      <c r="BM389" t="s">
        <v>6487</v>
      </c>
      <c r="BN389">
        <v>17458968</v>
      </c>
      <c r="BO389" t="s">
        <v>223</v>
      </c>
      <c r="BP389" t="s">
        <v>74</v>
      </c>
      <c r="BQ389" t="s">
        <v>74</v>
      </c>
      <c r="BR389" t="s">
        <v>101</v>
      </c>
      <c r="BS389" t="s">
        <v>6488</v>
      </c>
      <c r="BT389" t="str">
        <f>HYPERLINK("https%3A%2F%2Fwww.webofscience.com%2Fwos%2Fwoscc%2Ffull-record%2FWOS:000246535300021","View Full Record in Web of Science")</f>
        <v>View Full Record in Web of Science</v>
      </c>
    </row>
    <row r="390" spans="1:72" x14ac:dyDescent="0.15">
      <c r="A390" t="s">
        <v>72</v>
      </c>
      <c r="B390" t="s">
        <v>6489</v>
      </c>
      <c r="C390" t="s">
        <v>74</v>
      </c>
      <c r="D390" t="s">
        <v>74</v>
      </c>
      <c r="E390" t="s">
        <v>74</v>
      </c>
      <c r="F390" t="s">
        <v>6490</v>
      </c>
      <c r="G390" t="s">
        <v>74</v>
      </c>
      <c r="H390" t="s">
        <v>74</v>
      </c>
      <c r="I390" t="s">
        <v>6491</v>
      </c>
      <c r="J390" t="s">
        <v>130</v>
      </c>
      <c r="K390" t="s">
        <v>74</v>
      </c>
      <c r="L390" t="s">
        <v>74</v>
      </c>
      <c r="M390" t="s">
        <v>78</v>
      </c>
      <c r="N390" t="s">
        <v>79</v>
      </c>
      <c r="O390" t="s">
        <v>74</v>
      </c>
      <c r="P390" t="s">
        <v>74</v>
      </c>
      <c r="Q390" t="s">
        <v>74</v>
      </c>
      <c r="R390" t="s">
        <v>74</v>
      </c>
      <c r="S390" t="s">
        <v>74</v>
      </c>
      <c r="T390" t="s">
        <v>74</v>
      </c>
      <c r="U390" t="s">
        <v>6492</v>
      </c>
      <c r="V390" t="s">
        <v>6493</v>
      </c>
      <c r="W390" t="s">
        <v>6494</v>
      </c>
      <c r="X390" t="s">
        <v>6495</v>
      </c>
      <c r="Y390" t="s">
        <v>6496</v>
      </c>
      <c r="Z390" t="s">
        <v>6497</v>
      </c>
      <c r="AA390" t="s">
        <v>6498</v>
      </c>
      <c r="AB390" t="s">
        <v>74</v>
      </c>
      <c r="AC390" t="s">
        <v>74</v>
      </c>
      <c r="AD390" t="s">
        <v>74</v>
      </c>
      <c r="AE390" t="s">
        <v>74</v>
      </c>
      <c r="AF390" t="s">
        <v>74</v>
      </c>
      <c r="AG390">
        <v>34</v>
      </c>
      <c r="AH390">
        <v>48</v>
      </c>
      <c r="AI390">
        <v>57</v>
      </c>
      <c r="AJ390">
        <v>0</v>
      </c>
      <c r="AK390">
        <v>15</v>
      </c>
      <c r="AL390" t="s">
        <v>141</v>
      </c>
      <c r="AM390" t="s">
        <v>142</v>
      </c>
      <c r="AN390" t="s">
        <v>143</v>
      </c>
      <c r="AO390" t="s">
        <v>144</v>
      </c>
      <c r="AP390" t="s">
        <v>74</v>
      </c>
      <c r="AQ390" t="s">
        <v>74</v>
      </c>
      <c r="AR390" t="s">
        <v>146</v>
      </c>
      <c r="AS390" t="s">
        <v>147</v>
      </c>
      <c r="AT390" t="s">
        <v>6499</v>
      </c>
      <c r="AU390">
        <v>2007</v>
      </c>
      <c r="AV390">
        <v>34</v>
      </c>
      <c r="AW390">
        <v>10</v>
      </c>
      <c r="AX390" t="s">
        <v>74</v>
      </c>
      <c r="AY390" t="s">
        <v>74</v>
      </c>
      <c r="AZ390" t="s">
        <v>74</v>
      </c>
      <c r="BA390" t="s">
        <v>74</v>
      </c>
      <c r="BB390" t="s">
        <v>74</v>
      </c>
      <c r="BC390" t="s">
        <v>74</v>
      </c>
      <c r="BD390" t="s">
        <v>6500</v>
      </c>
      <c r="BE390" t="s">
        <v>6501</v>
      </c>
      <c r="BF390" t="str">
        <f>HYPERLINK("http://dx.doi.org/10.1029/2007GL029551","http://dx.doi.org/10.1029/2007GL029551")</f>
        <v>http://dx.doi.org/10.1029/2007GL029551</v>
      </c>
      <c r="BG390" t="s">
        <v>74</v>
      </c>
      <c r="BH390" t="s">
        <v>74</v>
      </c>
      <c r="BI390">
        <v>4</v>
      </c>
      <c r="BJ390" t="s">
        <v>151</v>
      </c>
      <c r="BK390" t="s">
        <v>98</v>
      </c>
      <c r="BL390" t="s">
        <v>152</v>
      </c>
      <c r="BM390" t="s">
        <v>6502</v>
      </c>
      <c r="BN390" t="s">
        <v>74</v>
      </c>
      <c r="BO390" t="s">
        <v>74</v>
      </c>
      <c r="BP390" t="s">
        <v>74</v>
      </c>
      <c r="BQ390" t="s">
        <v>74</v>
      </c>
      <c r="BR390" t="s">
        <v>101</v>
      </c>
      <c r="BS390" t="s">
        <v>6503</v>
      </c>
      <c r="BT390" t="str">
        <f>HYPERLINK("https%3A%2F%2Fwww.webofscience.com%2Fwos%2Fwoscc%2Ffull-record%2FWOS:000246845600003","View Full Record in Web of Science")</f>
        <v>View Full Record in Web of Science</v>
      </c>
    </row>
    <row r="391" spans="1:72" x14ac:dyDescent="0.15">
      <c r="A391" t="s">
        <v>72</v>
      </c>
      <c r="B391" t="s">
        <v>6504</v>
      </c>
      <c r="C391" t="s">
        <v>74</v>
      </c>
      <c r="D391" t="s">
        <v>74</v>
      </c>
      <c r="E391" t="s">
        <v>74</v>
      </c>
      <c r="F391" t="s">
        <v>6505</v>
      </c>
      <c r="G391" t="s">
        <v>74</v>
      </c>
      <c r="H391" t="s">
        <v>74</v>
      </c>
      <c r="I391" t="s">
        <v>6506</v>
      </c>
      <c r="J391" t="s">
        <v>416</v>
      </c>
      <c r="K391" t="s">
        <v>74</v>
      </c>
      <c r="L391" t="s">
        <v>74</v>
      </c>
      <c r="M391" t="s">
        <v>78</v>
      </c>
      <c r="N391" t="s">
        <v>79</v>
      </c>
      <c r="O391" t="s">
        <v>74</v>
      </c>
      <c r="P391" t="s">
        <v>74</v>
      </c>
      <c r="Q391" t="s">
        <v>74</v>
      </c>
      <c r="R391" t="s">
        <v>74</v>
      </c>
      <c r="S391" t="s">
        <v>74</v>
      </c>
      <c r="T391" t="s">
        <v>74</v>
      </c>
      <c r="U391" t="s">
        <v>6507</v>
      </c>
      <c r="V391" t="s">
        <v>6508</v>
      </c>
      <c r="W391" t="s">
        <v>6509</v>
      </c>
      <c r="X391" t="s">
        <v>6510</v>
      </c>
      <c r="Y391" t="s">
        <v>6511</v>
      </c>
      <c r="Z391" t="s">
        <v>6512</v>
      </c>
      <c r="AA391" t="s">
        <v>6513</v>
      </c>
      <c r="AB391" t="s">
        <v>6514</v>
      </c>
      <c r="AC391" t="s">
        <v>74</v>
      </c>
      <c r="AD391" t="s">
        <v>74</v>
      </c>
      <c r="AE391" t="s">
        <v>74</v>
      </c>
      <c r="AF391" t="s">
        <v>74</v>
      </c>
      <c r="AG391">
        <v>60</v>
      </c>
      <c r="AH391">
        <v>234</v>
      </c>
      <c r="AI391">
        <v>255</v>
      </c>
      <c r="AJ391">
        <v>1</v>
      </c>
      <c r="AK391">
        <v>42</v>
      </c>
      <c r="AL391" t="s">
        <v>141</v>
      </c>
      <c r="AM391" t="s">
        <v>142</v>
      </c>
      <c r="AN391" t="s">
        <v>143</v>
      </c>
      <c r="AO391" t="s">
        <v>427</v>
      </c>
      <c r="AP391" t="s">
        <v>428</v>
      </c>
      <c r="AQ391" t="s">
        <v>74</v>
      </c>
      <c r="AR391" t="s">
        <v>429</v>
      </c>
      <c r="AS391" t="s">
        <v>430</v>
      </c>
      <c r="AT391" t="s">
        <v>6499</v>
      </c>
      <c r="AU391">
        <v>2007</v>
      </c>
      <c r="AV391">
        <v>112</v>
      </c>
      <c r="AW391" t="s">
        <v>6515</v>
      </c>
      <c r="AX391" t="s">
        <v>74</v>
      </c>
      <c r="AY391" t="s">
        <v>74</v>
      </c>
      <c r="AZ391" t="s">
        <v>74</v>
      </c>
      <c r="BA391" t="s">
        <v>74</v>
      </c>
      <c r="BB391" t="s">
        <v>74</v>
      </c>
      <c r="BC391" t="s">
        <v>74</v>
      </c>
      <c r="BD391" t="s">
        <v>6516</v>
      </c>
      <c r="BE391" t="s">
        <v>6517</v>
      </c>
      <c r="BF391" t="str">
        <f>HYPERLINK("http://dx.doi.org/10.1029/2006JD007859","http://dx.doi.org/10.1029/2006JD007859")</f>
        <v>http://dx.doi.org/10.1029/2006JD007859</v>
      </c>
      <c r="BG391" t="s">
        <v>74</v>
      </c>
      <c r="BH391" t="s">
        <v>74</v>
      </c>
      <c r="BI391">
        <v>21</v>
      </c>
      <c r="BJ391" t="s">
        <v>435</v>
      </c>
      <c r="BK391" t="s">
        <v>98</v>
      </c>
      <c r="BL391" t="s">
        <v>435</v>
      </c>
      <c r="BM391" t="s">
        <v>6518</v>
      </c>
      <c r="BN391" t="s">
        <v>74</v>
      </c>
      <c r="BO391" t="s">
        <v>223</v>
      </c>
      <c r="BP391" t="s">
        <v>74</v>
      </c>
      <c r="BQ391" t="s">
        <v>74</v>
      </c>
      <c r="BR391" t="s">
        <v>101</v>
      </c>
      <c r="BS391" t="s">
        <v>6519</v>
      </c>
      <c r="BT391" t="str">
        <f>HYPERLINK("https%3A%2F%2Fwww.webofscience.com%2Fwos%2Fwoscc%2Ffull-record%2FWOS:000246846300006","View Full Record in Web of Science")</f>
        <v>View Full Record in Web of Science</v>
      </c>
    </row>
    <row r="392" spans="1:72" x14ac:dyDescent="0.15">
      <c r="A392" t="s">
        <v>72</v>
      </c>
      <c r="B392" t="s">
        <v>6520</v>
      </c>
      <c r="C392" t="s">
        <v>74</v>
      </c>
      <c r="D392" t="s">
        <v>74</v>
      </c>
      <c r="E392" t="s">
        <v>74</v>
      </c>
      <c r="F392" t="s">
        <v>6521</v>
      </c>
      <c r="G392" t="s">
        <v>74</v>
      </c>
      <c r="H392" t="s">
        <v>74</v>
      </c>
      <c r="I392" t="s">
        <v>6522</v>
      </c>
      <c r="J392" t="s">
        <v>130</v>
      </c>
      <c r="K392" t="s">
        <v>74</v>
      </c>
      <c r="L392" t="s">
        <v>74</v>
      </c>
      <c r="M392" t="s">
        <v>78</v>
      </c>
      <c r="N392" t="s">
        <v>79</v>
      </c>
      <c r="O392" t="s">
        <v>74</v>
      </c>
      <c r="P392" t="s">
        <v>74</v>
      </c>
      <c r="Q392" t="s">
        <v>74</v>
      </c>
      <c r="R392" t="s">
        <v>74</v>
      </c>
      <c r="S392" t="s">
        <v>74</v>
      </c>
      <c r="T392" t="s">
        <v>74</v>
      </c>
      <c r="U392" t="s">
        <v>6523</v>
      </c>
      <c r="V392" t="s">
        <v>6524</v>
      </c>
      <c r="W392" t="s">
        <v>6525</v>
      </c>
      <c r="X392" t="s">
        <v>6526</v>
      </c>
      <c r="Y392" t="s">
        <v>6527</v>
      </c>
      <c r="Z392" t="s">
        <v>6528</v>
      </c>
      <c r="AA392" t="s">
        <v>6529</v>
      </c>
      <c r="AB392" t="s">
        <v>6530</v>
      </c>
      <c r="AC392" t="s">
        <v>74</v>
      </c>
      <c r="AD392" t="s">
        <v>74</v>
      </c>
      <c r="AE392" t="s">
        <v>74</v>
      </c>
      <c r="AF392" t="s">
        <v>74</v>
      </c>
      <c r="AG392">
        <v>18</v>
      </c>
      <c r="AH392">
        <v>20</v>
      </c>
      <c r="AI392">
        <v>22</v>
      </c>
      <c r="AJ392">
        <v>0</v>
      </c>
      <c r="AK392">
        <v>7</v>
      </c>
      <c r="AL392" t="s">
        <v>141</v>
      </c>
      <c r="AM392" t="s">
        <v>142</v>
      </c>
      <c r="AN392" t="s">
        <v>143</v>
      </c>
      <c r="AO392" t="s">
        <v>144</v>
      </c>
      <c r="AP392" t="s">
        <v>74</v>
      </c>
      <c r="AQ392" t="s">
        <v>74</v>
      </c>
      <c r="AR392" t="s">
        <v>146</v>
      </c>
      <c r="AS392" t="s">
        <v>147</v>
      </c>
      <c r="AT392" t="s">
        <v>6531</v>
      </c>
      <c r="AU392">
        <v>2007</v>
      </c>
      <c r="AV392">
        <v>34</v>
      </c>
      <c r="AW392">
        <v>10</v>
      </c>
      <c r="AX392" t="s">
        <v>74</v>
      </c>
      <c r="AY392" t="s">
        <v>74</v>
      </c>
      <c r="AZ392" t="s">
        <v>74</v>
      </c>
      <c r="BA392" t="s">
        <v>74</v>
      </c>
      <c r="BB392" t="s">
        <v>74</v>
      </c>
      <c r="BC392" t="s">
        <v>74</v>
      </c>
      <c r="BD392" t="s">
        <v>6532</v>
      </c>
      <c r="BE392" t="s">
        <v>6533</v>
      </c>
      <c r="BF392" t="str">
        <f>HYPERLINK("http://dx.doi.org/10.1029/2007GL029811","http://dx.doi.org/10.1029/2007GL029811")</f>
        <v>http://dx.doi.org/10.1029/2007GL029811</v>
      </c>
      <c r="BG392" t="s">
        <v>74</v>
      </c>
      <c r="BH392" t="s">
        <v>74</v>
      </c>
      <c r="BI392">
        <v>4</v>
      </c>
      <c r="BJ392" t="s">
        <v>151</v>
      </c>
      <c r="BK392" t="s">
        <v>98</v>
      </c>
      <c r="BL392" t="s">
        <v>152</v>
      </c>
      <c r="BM392" t="s">
        <v>6534</v>
      </c>
      <c r="BN392" t="s">
        <v>74</v>
      </c>
      <c r="BO392" t="s">
        <v>304</v>
      </c>
      <c r="BP392" t="s">
        <v>74</v>
      </c>
      <c r="BQ392" t="s">
        <v>74</v>
      </c>
      <c r="BR392" t="s">
        <v>101</v>
      </c>
      <c r="BS392" t="s">
        <v>6535</v>
      </c>
      <c r="BT392" t="str">
        <f>HYPERLINK("https%3A%2F%2Fwww.webofscience.com%2Fwos%2Fwoscc%2Ffull-record%2FWOS:000246838300004","View Full Record in Web of Science")</f>
        <v>View Full Record in Web of Science</v>
      </c>
    </row>
    <row r="393" spans="1:72" x14ac:dyDescent="0.15">
      <c r="A393" t="s">
        <v>72</v>
      </c>
      <c r="B393" t="s">
        <v>6536</v>
      </c>
      <c r="C393" t="s">
        <v>74</v>
      </c>
      <c r="D393" t="s">
        <v>74</v>
      </c>
      <c r="E393" t="s">
        <v>74</v>
      </c>
      <c r="F393" t="s">
        <v>6537</v>
      </c>
      <c r="G393" t="s">
        <v>74</v>
      </c>
      <c r="H393" t="s">
        <v>74</v>
      </c>
      <c r="I393" t="s">
        <v>6538</v>
      </c>
      <c r="J393" t="s">
        <v>416</v>
      </c>
      <c r="K393" t="s">
        <v>74</v>
      </c>
      <c r="L393" t="s">
        <v>74</v>
      </c>
      <c r="M393" t="s">
        <v>78</v>
      </c>
      <c r="N393" t="s">
        <v>79</v>
      </c>
      <c r="O393" t="s">
        <v>74</v>
      </c>
      <c r="P393" t="s">
        <v>74</v>
      </c>
      <c r="Q393" t="s">
        <v>74</v>
      </c>
      <c r="R393" t="s">
        <v>74</v>
      </c>
      <c r="S393" t="s">
        <v>74</v>
      </c>
      <c r="T393" t="s">
        <v>74</v>
      </c>
      <c r="U393" t="s">
        <v>6539</v>
      </c>
      <c r="V393" t="s">
        <v>6540</v>
      </c>
      <c r="W393" t="s">
        <v>6541</v>
      </c>
      <c r="X393" t="s">
        <v>6542</v>
      </c>
      <c r="Y393" t="s">
        <v>6543</v>
      </c>
      <c r="Z393" t="s">
        <v>6544</v>
      </c>
      <c r="AA393" t="s">
        <v>6545</v>
      </c>
      <c r="AB393" t="s">
        <v>6546</v>
      </c>
      <c r="AC393" t="s">
        <v>74</v>
      </c>
      <c r="AD393" t="s">
        <v>74</v>
      </c>
      <c r="AE393" t="s">
        <v>74</v>
      </c>
      <c r="AF393" t="s">
        <v>74</v>
      </c>
      <c r="AG393">
        <v>51</v>
      </c>
      <c r="AH393">
        <v>53</v>
      </c>
      <c r="AI393">
        <v>58</v>
      </c>
      <c r="AJ393">
        <v>1</v>
      </c>
      <c r="AK393">
        <v>11</v>
      </c>
      <c r="AL393" t="s">
        <v>141</v>
      </c>
      <c r="AM393" t="s">
        <v>142</v>
      </c>
      <c r="AN393" t="s">
        <v>143</v>
      </c>
      <c r="AO393" t="s">
        <v>427</v>
      </c>
      <c r="AP393" t="s">
        <v>428</v>
      </c>
      <c r="AQ393" t="s">
        <v>74</v>
      </c>
      <c r="AR393" t="s">
        <v>429</v>
      </c>
      <c r="AS393" t="s">
        <v>430</v>
      </c>
      <c r="AT393" t="s">
        <v>6531</v>
      </c>
      <c r="AU393">
        <v>2007</v>
      </c>
      <c r="AV393">
        <v>112</v>
      </c>
      <c r="AW393" t="s">
        <v>6515</v>
      </c>
      <c r="AX393" t="s">
        <v>74</v>
      </c>
      <c r="AY393" t="s">
        <v>74</v>
      </c>
      <c r="AZ393" t="s">
        <v>74</v>
      </c>
      <c r="BA393" t="s">
        <v>74</v>
      </c>
      <c r="BB393" t="s">
        <v>74</v>
      </c>
      <c r="BC393" t="s">
        <v>74</v>
      </c>
      <c r="BD393" t="s">
        <v>6547</v>
      </c>
      <c r="BE393" t="s">
        <v>6548</v>
      </c>
      <c r="BF393" t="str">
        <f>HYPERLINK("http://dx.doi.org/10.1029/2006JD007482","http://dx.doi.org/10.1029/2006JD007482")</f>
        <v>http://dx.doi.org/10.1029/2006JD007482</v>
      </c>
      <c r="BG393" t="s">
        <v>74</v>
      </c>
      <c r="BH393" t="s">
        <v>74</v>
      </c>
      <c r="BI393">
        <v>19</v>
      </c>
      <c r="BJ393" t="s">
        <v>435</v>
      </c>
      <c r="BK393" t="s">
        <v>98</v>
      </c>
      <c r="BL393" t="s">
        <v>435</v>
      </c>
      <c r="BM393" t="s">
        <v>6549</v>
      </c>
      <c r="BN393" t="s">
        <v>74</v>
      </c>
      <c r="BO393" t="s">
        <v>154</v>
      </c>
      <c r="BP393" t="s">
        <v>74</v>
      </c>
      <c r="BQ393" t="s">
        <v>74</v>
      </c>
      <c r="BR393" t="s">
        <v>101</v>
      </c>
      <c r="BS393" t="s">
        <v>6550</v>
      </c>
      <c r="BT393" t="str">
        <f>HYPERLINK("https%3A%2F%2Fwww.webofscience.com%2Fwos%2Fwoscc%2Ffull-record%2FWOS:000246839000002","View Full Record in Web of Science")</f>
        <v>View Full Record in Web of Science</v>
      </c>
    </row>
    <row r="394" spans="1:72" x14ac:dyDescent="0.15">
      <c r="A394" t="s">
        <v>72</v>
      </c>
      <c r="B394" t="s">
        <v>6551</v>
      </c>
      <c r="C394" t="s">
        <v>74</v>
      </c>
      <c r="D394" t="s">
        <v>74</v>
      </c>
      <c r="E394" t="s">
        <v>74</v>
      </c>
      <c r="F394" t="s">
        <v>6552</v>
      </c>
      <c r="G394" t="s">
        <v>74</v>
      </c>
      <c r="H394" t="s">
        <v>74</v>
      </c>
      <c r="I394" t="s">
        <v>6553</v>
      </c>
      <c r="J394" t="s">
        <v>6554</v>
      </c>
      <c r="K394" t="s">
        <v>74</v>
      </c>
      <c r="L394" t="s">
        <v>74</v>
      </c>
      <c r="M394" t="s">
        <v>78</v>
      </c>
      <c r="N394" t="s">
        <v>79</v>
      </c>
      <c r="O394" t="s">
        <v>74</v>
      </c>
      <c r="P394" t="s">
        <v>74</v>
      </c>
      <c r="Q394" t="s">
        <v>74</v>
      </c>
      <c r="R394" t="s">
        <v>74</v>
      </c>
      <c r="S394" t="s">
        <v>74</v>
      </c>
      <c r="T394" t="s">
        <v>74</v>
      </c>
      <c r="U394" t="s">
        <v>6555</v>
      </c>
      <c r="V394" t="s">
        <v>6556</v>
      </c>
      <c r="W394" t="s">
        <v>6557</v>
      </c>
      <c r="X394" t="s">
        <v>6558</v>
      </c>
      <c r="Y394" t="s">
        <v>6559</v>
      </c>
      <c r="Z394" t="s">
        <v>6560</v>
      </c>
      <c r="AA394" t="s">
        <v>6561</v>
      </c>
      <c r="AB394" t="s">
        <v>6562</v>
      </c>
      <c r="AC394" t="s">
        <v>74</v>
      </c>
      <c r="AD394" t="s">
        <v>74</v>
      </c>
      <c r="AE394" t="s">
        <v>74</v>
      </c>
      <c r="AF394" t="s">
        <v>74</v>
      </c>
      <c r="AG394">
        <v>44</v>
      </c>
      <c r="AH394">
        <v>8</v>
      </c>
      <c r="AI394">
        <v>8</v>
      </c>
      <c r="AJ394">
        <v>0</v>
      </c>
      <c r="AK394">
        <v>5</v>
      </c>
      <c r="AL394" t="s">
        <v>1073</v>
      </c>
      <c r="AM394" t="s">
        <v>363</v>
      </c>
      <c r="AN394" t="s">
        <v>1074</v>
      </c>
      <c r="AO394" t="s">
        <v>6563</v>
      </c>
      <c r="AP394" t="s">
        <v>74</v>
      </c>
      <c r="AQ394" t="s">
        <v>74</v>
      </c>
      <c r="AR394" t="s">
        <v>6564</v>
      </c>
      <c r="AS394" t="s">
        <v>6565</v>
      </c>
      <c r="AT394" t="s">
        <v>6566</v>
      </c>
      <c r="AU394">
        <v>2007</v>
      </c>
      <c r="AV394">
        <v>8</v>
      </c>
      <c r="AW394" t="s">
        <v>74</v>
      </c>
      <c r="AX394" t="s">
        <v>74</v>
      </c>
      <c r="AY394" t="s">
        <v>74</v>
      </c>
      <c r="AZ394" t="s">
        <v>74</v>
      </c>
      <c r="BA394" t="s">
        <v>74</v>
      </c>
      <c r="BB394" t="s">
        <v>74</v>
      </c>
      <c r="BC394" t="s">
        <v>74</v>
      </c>
      <c r="BD394">
        <v>34</v>
      </c>
      <c r="BE394" t="s">
        <v>6567</v>
      </c>
      <c r="BF394" t="str">
        <f>HYPERLINK("http://dx.doi.org/10.1186/1471-2199-8-34","http://dx.doi.org/10.1186/1471-2199-8-34")</f>
        <v>http://dx.doi.org/10.1186/1471-2199-8-34</v>
      </c>
      <c r="BG394" t="s">
        <v>74</v>
      </c>
      <c r="BH394" t="s">
        <v>74</v>
      </c>
      <c r="BI394">
        <v>10</v>
      </c>
      <c r="BJ394" t="s">
        <v>2547</v>
      </c>
      <c r="BK394" t="s">
        <v>98</v>
      </c>
      <c r="BL394" t="s">
        <v>2547</v>
      </c>
      <c r="BM394" t="s">
        <v>6568</v>
      </c>
      <c r="BN394">
        <v>17509131</v>
      </c>
      <c r="BO394" t="s">
        <v>6569</v>
      </c>
      <c r="BP394" t="s">
        <v>74</v>
      </c>
      <c r="BQ394" t="s">
        <v>74</v>
      </c>
      <c r="BR394" t="s">
        <v>101</v>
      </c>
      <c r="BS394" t="s">
        <v>6570</v>
      </c>
      <c r="BT394" t="str">
        <f>HYPERLINK("https%3A%2F%2Fwww.webofscience.com%2Fwos%2Fwoscc%2Ffull-record%2FWOS:000247018200001","View Full Record in Web of Science")</f>
        <v>View Full Record in Web of Science</v>
      </c>
    </row>
    <row r="395" spans="1:72" x14ac:dyDescent="0.15">
      <c r="A395" t="s">
        <v>72</v>
      </c>
      <c r="B395" t="s">
        <v>6571</v>
      </c>
      <c r="C395" t="s">
        <v>74</v>
      </c>
      <c r="D395" t="s">
        <v>74</v>
      </c>
      <c r="E395" t="s">
        <v>74</v>
      </c>
      <c r="F395" t="s">
        <v>6572</v>
      </c>
      <c r="G395" t="s">
        <v>74</v>
      </c>
      <c r="H395" t="s">
        <v>74</v>
      </c>
      <c r="I395" t="s">
        <v>6573</v>
      </c>
      <c r="J395" t="s">
        <v>416</v>
      </c>
      <c r="K395" t="s">
        <v>74</v>
      </c>
      <c r="L395" t="s">
        <v>74</v>
      </c>
      <c r="M395" t="s">
        <v>78</v>
      </c>
      <c r="N395" t="s">
        <v>79</v>
      </c>
      <c r="O395" t="s">
        <v>74</v>
      </c>
      <c r="P395" t="s">
        <v>74</v>
      </c>
      <c r="Q395" t="s">
        <v>74</v>
      </c>
      <c r="R395" t="s">
        <v>74</v>
      </c>
      <c r="S395" t="s">
        <v>74</v>
      </c>
      <c r="T395" t="s">
        <v>74</v>
      </c>
      <c r="U395" t="s">
        <v>6574</v>
      </c>
      <c r="V395" t="s">
        <v>6575</v>
      </c>
      <c r="W395" t="s">
        <v>6576</v>
      </c>
      <c r="X395" t="s">
        <v>6577</v>
      </c>
      <c r="Y395" t="s">
        <v>6578</v>
      </c>
      <c r="Z395" t="s">
        <v>6579</v>
      </c>
      <c r="AA395" t="s">
        <v>6580</v>
      </c>
      <c r="AB395" t="s">
        <v>6581</v>
      </c>
      <c r="AC395" t="s">
        <v>74</v>
      </c>
      <c r="AD395" t="s">
        <v>74</v>
      </c>
      <c r="AE395" t="s">
        <v>74</v>
      </c>
      <c r="AF395" t="s">
        <v>74</v>
      </c>
      <c r="AG395">
        <v>99</v>
      </c>
      <c r="AH395">
        <v>226</v>
      </c>
      <c r="AI395">
        <v>260</v>
      </c>
      <c r="AJ395">
        <v>0</v>
      </c>
      <c r="AK395">
        <v>40</v>
      </c>
      <c r="AL395" t="s">
        <v>141</v>
      </c>
      <c r="AM395" t="s">
        <v>142</v>
      </c>
      <c r="AN395" t="s">
        <v>143</v>
      </c>
      <c r="AO395" t="s">
        <v>427</v>
      </c>
      <c r="AP395" t="s">
        <v>428</v>
      </c>
      <c r="AQ395" t="s">
        <v>74</v>
      </c>
      <c r="AR395" t="s">
        <v>429</v>
      </c>
      <c r="AS395" t="s">
        <v>430</v>
      </c>
      <c r="AT395" t="s">
        <v>6566</v>
      </c>
      <c r="AU395">
        <v>2007</v>
      </c>
      <c r="AV395">
        <v>112</v>
      </c>
      <c r="AW395" t="s">
        <v>6515</v>
      </c>
      <c r="AX395" t="s">
        <v>74</v>
      </c>
      <c r="AY395" t="s">
        <v>74</v>
      </c>
      <c r="AZ395" t="s">
        <v>74</v>
      </c>
      <c r="BA395" t="s">
        <v>74</v>
      </c>
      <c r="BB395" t="s">
        <v>74</v>
      </c>
      <c r="BC395" t="s">
        <v>74</v>
      </c>
      <c r="BD395" t="s">
        <v>6582</v>
      </c>
      <c r="BE395" t="s">
        <v>6583</v>
      </c>
      <c r="BF395" t="str">
        <f>HYPERLINK("http://dx.doi.org/10.1029/2006JD007781","http://dx.doi.org/10.1029/2006JD007781")</f>
        <v>http://dx.doi.org/10.1029/2006JD007781</v>
      </c>
      <c r="BG395" t="s">
        <v>74</v>
      </c>
      <c r="BH395" t="s">
        <v>74</v>
      </c>
      <c r="BI395">
        <v>18</v>
      </c>
      <c r="BJ395" t="s">
        <v>435</v>
      </c>
      <c r="BK395" t="s">
        <v>98</v>
      </c>
      <c r="BL395" t="s">
        <v>435</v>
      </c>
      <c r="BM395" t="s">
        <v>6584</v>
      </c>
      <c r="BN395" t="s">
        <v>74</v>
      </c>
      <c r="BO395" t="s">
        <v>74</v>
      </c>
      <c r="BP395" t="s">
        <v>74</v>
      </c>
      <c r="BQ395" t="s">
        <v>74</v>
      </c>
      <c r="BR395" t="s">
        <v>101</v>
      </c>
      <c r="BS395" t="s">
        <v>6585</v>
      </c>
      <c r="BT395" t="str">
        <f>HYPERLINK("https%3A%2F%2Fwww.webofscience.com%2Fwos%2Fwoscc%2Ffull-record%2FWOS:000246838900004","View Full Record in Web of Science")</f>
        <v>View Full Record in Web of Science</v>
      </c>
    </row>
    <row r="396" spans="1:72" x14ac:dyDescent="0.15">
      <c r="A396" t="s">
        <v>72</v>
      </c>
      <c r="B396" t="s">
        <v>6586</v>
      </c>
      <c r="C396" t="s">
        <v>74</v>
      </c>
      <c r="D396" t="s">
        <v>74</v>
      </c>
      <c r="E396" t="s">
        <v>74</v>
      </c>
      <c r="F396" t="s">
        <v>6587</v>
      </c>
      <c r="G396" t="s">
        <v>74</v>
      </c>
      <c r="H396" t="s">
        <v>74</v>
      </c>
      <c r="I396" t="s">
        <v>6588</v>
      </c>
      <c r="J396" t="s">
        <v>351</v>
      </c>
      <c r="K396" t="s">
        <v>74</v>
      </c>
      <c r="L396" t="s">
        <v>74</v>
      </c>
      <c r="M396" t="s">
        <v>78</v>
      </c>
      <c r="N396" t="s">
        <v>79</v>
      </c>
      <c r="O396" t="s">
        <v>74</v>
      </c>
      <c r="P396" t="s">
        <v>74</v>
      </c>
      <c r="Q396" t="s">
        <v>74</v>
      </c>
      <c r="R396" t="s">
        <v>74</v>
      </c>
      <c r="S396" t="s">
        <v>74</v>
      </c>
      <c r="T396" t="s">
        <v>74</v>
      </c>
      <c r="U396" t="s">
        <v>6589</v>
      </c>
      <c r="V396" t="s">
        <v>6590</v>
      </c>
      <c r="W396" t="s">
        <v>6591</v>
      </c>
      <c r="X396" t="s">
        <v>6592</v>
      </c>
      <c r="Y396" t="s">
        <v>6593</v>
      </c>
      <c r="Z396" t="s">
        <v>6594</v>
      </c>
      <c r="AA396" t="s">
        <v>6595</v>
      </c>
      <c r="AB396" t="s">
        <v>6596</v>
      </c>
      <c r="AC396" t="s">
        <v>6597</v>
      </c>
      <c r="AD396" t="s">
        <v>361</v>
      </c>
      <c r="AE396" t="s">
        <v>74</v>
      </c>
      <c r="AF396" t="s">
        <v>74</v>
      </c>
      <c r="AG396">
        <v>29</v>
      </c>
      <c r="AH396">
        <v>377</v>
      </c>
      <c r="AI396">
        <v>402</v>
      </c>
      <c r="AJ396">
        <v>4</v>
      </c>
      <c r="AK396">
        <v>170</v>
      </c>
      <c r="AL396" t="s">
        <v>362</v>
      </c>
      <c r="AM396" t="s">
        <v>363</v>
      </c>
      <c r="AN396" t="s">
        <v>364</v>
      </c>
      <c r="AO396" t="s">
        <v>365</v>
      </c>
      <c r="AP396" t="s">
        <v>74</v>
      </c>
      <c r="AQ396" t="s">
        <v>74</v>
      </c>
      <c r="AR396" t="s">
        <v>351</v>
      </c>
      <c r="AS396" t="s">
        <v>367</v>
      </c>
      <c r="AT396" t="s">
        <v>6566</v>
      </c>
      <c r="AU396">
        <v>2007</v>
      </c>
      <c r="AV396">
        <v>447</v>
      </c>
      <c r="AW396">
        <v>7142</v>
      </c>
      <c r="AX396" t="s">
        <v>74</v>
      </c>
      <c r="AY396" t="s">
        <v>74</v>
      </c>
      <c r="AZ396" t="s">
        <v>74</v>
      </c>
      <c r="BA396" t="s">
        <v>74</v>
      </c>
      <c r="BB396">
        <v>307</v>
      </c>
      <c r="BC396">
        <v>311</v>
      </c>
      <c r="BD396" t="s">
        <v>74</v>
      </c>
      <c r="BE396" t="s">
        <v>6598</v>
      </c>
      <c r="BF396" t="str">
        <f>HYPERLINK("http://dx.doi.org/10.1038/nature05827","http://dx.doi.org/10.1038/nature05827")</f>
        <v>http://dx.doi.org/10.1038/nature05827</v>
      </c>
      <c r="BG396" t="s">
        <v>74</v>
      </c>
      <c r="BH396" t="s">
        <v>74</v>
      </c>
      <c r="BI396">
        <v>5</v>
      </c>
      <c r="BJ396" t="s">
        <v>241</v>
      </c>
      <c r="BK396" t="s">
        <v>98</v>
      </c>
      <c r="BL396" t="s">
        <v>242</v>
      </c>
      <c r="BM396" t="s">
        <v>6599</v>
      </c>
      <c r="BN396">
        <v>17507981</v>
      </c>
      <c r="BO396" t="s">
        <v>74</v>
      </c>
      <c r="BP396" t="s">
        <v>74</v>
      </c>
      <c r="BQ396" t="s">
        <v>74</v>
      </c>
      <c r="BR396" t="s">
        <v>101</v>
      </c>
      <c r="BS396" t="s">
        <v>6600</v>
      </c>
      <c r="BT396" t="str">
        <f>HYPERLINK("https%3A%2F%2Fwww.webofscience.com%2Fwos%2Fwoscc%2Ffull-record%2FWOS:000246520300043","View Full Record in Web of Science")</f>
        <v>View Full Record in Web of Science</v>
      </c>
    </row>
    <row r="397" spans="1:72" x14ac:dyDescent="0.15">
      <c r="A397" t="s">
        <v>72</v>
      </c>
      <c r="B397" t="s">
        <v>6601</v>
      </c>
      <c r="C397" t="s">
        <v>74</v>
      </c>
      <c r="D397" t="s">
        <v>74</v>
      </c>
      <c r="E397" t="s">
        <v>74</v>
      </c>
      <c r="F397" t="s">
        <v>6602</v>
      </c>
      <c r="G397" t="s">
        <v>74</v>
      </c>
      <c r="H397" t="s">
        <v>74</v>
      </c>
      <c r="I397" t="s">
        <v>6603</v>
      </c>
      <c r="J397" t="s">
        <v>203</v>
      </c>
      <c r="K397" t="s">
        <v>74</v>
      </c>
      <c r="L397" t="s">
        <v>74</v>
      </c>
      <c r="M397" t="s">
        <v>78</v>
      </c>
      <c r="N397" t="s">
        <v>79</v>
      </c>
      <c r="O397" t="s">
        <v>74</v>
      </c>
      <c r="P397" t="s">
        <v>74</v>
      </c>
      <c r="Q397" t="s">
        <v>74</v>
      </c>
      <c r="R397" t="s">
        <v>74</v>
      </c>
      <c r="S397" t="s">
        <v>74</v>
      </c>
      <c r="T397" t="s">
        <v>74</v>
      </c>
      <c r="U397" t="s">
        <v>6604</v>
      </c>
      <c r="V397" t="s">
        <v>6605</v>
      </c>
      <c r="W397" t="s">
        <v>6606</v>
      </c>
      <c r="X397" t="s">
        <v>3527</v>
      </c>
      <c r="Y397" t="s">
        <v>6607</v>
      </c>
      <c r="Z397" t="s">
        <v>6608</v>
      </c>
      <c r="AA397" t="s">
        <v>74</v>
      </c>
      <c r="AB397" t="s">
        <v>74</v>
      </c>
      <c r="AC397" t="s">
        <v>74</v>
      </c>
      <c r="AD397" t="s">
        <v>74</v>
      </c>
      <c r="AE397" t="s">
        <v>74</v>
      </c>
      <c r="AF397" t="s">
        <v>74</v>
      </c>
      <c r="AG397">
        <v>50</v>
      </c>
      <c r="AH397">
        <v>43</v>
      </c>
      <c r="AI397">
        <v>47</v>
      </c>
      <c r="AJ397">
        <v>1</v>
      </c>
      <c r="AK397">
        <v>16</v>
      </c>
      <c r="AL397" t="s">
        <v>141</v>
      </c>
      <c r="AM397" t="s">
        <v>142</v>
      </c>
      <c r="AN397" t="s">
        <v>143</v>
      </c>
      <c r="AO397" t="s">
        <v>213</v>
      </c>
      <c r="AP397" t="s">
        <v>214</v>
      </c>
      <c r="AQ397" t="s">
        <v>74</v>
      </c>
      <c r="AR397" t="s">
        <v>215</v>
      </c>
      <c r="AS397" t="s">
        <v>216</v>
      </c>
      <c r="AT397" t="s">
        <v>6609</v>
      </c>
      <c r="AU397">
        <v>2007</v>
      </c>
      <c r="AV397">
        <v>112</v>
      </c>
      <c r="AW397" t="s">
        <v>6392</v>
      </c>
      <c r="AX397" t="s">
        <v>74</v>
      </c>
      <c r="AY397" t="s">
        <v>74</v>
      </c>
      <c r="AZ397" t="s">
        <v>74</v>
      </c>
      <c r="BA397" t="s">
        <v>74</v>
      </c>
      <c r="BB397" t="s">
        <v>74</v>
      </c>
      <c r="BC397" t="s">
        <v>74</v>
      </c>
      <c r="BD397" t="s">
        <v>6610</v>
      </c>
      <c r="BE397" t="s">
        <v>6611</v>
      </c>
      <c r="BF397" t="str">
        <f>HYPERLINK("http://dx.doi.org/10.1029/2005JC003405","http://dx.doi.org/10.1029/2005JC003405")</f>
        <v>http://dx.doi.org/10.1029/2005JC003405</v>
      </c>
      <c r="BG397" t="s">
        <v>74</v>
      </c>
      <c r="BH397" t="s">
        <v>74</v>
      </c>
      <c r="BI397">
        <v>11</v>
      </c>
      <c r="BJ397" t="s">
        <v>221</v>
      </c>
      <c r="BK397" t="s">
        <v>98</v>
      </c>
      <c r="BL397" t="s">
        <v>221</v>
      </c>
      <c r="BM397" t="s">
        <v>6612</v>
      </c>
      <c r="BN397" t="s">
        <v>74</v>
      </c>
      <c r="BO397" t="s">
        <v>154</v>
      </c>
      <c r="BP397" t="s">
        <v>74</v>
      </c>
      <c r="BQ397" t="s">
        <v>74</v>
      </c>
      <c r="BR397" t="s">
        <v>101</v>
      </c>
      <c r="BS397" t="s">
        <v>6613</v>
      </c>
      <c r="BT397" t="str">
        <f>HYPERLINK("https%3A%2F%2Fwww.webofscience.com%2Fwos%2Fwoscc%2Ffull-record%2FWOS:000246839800002","View Full Record in Web of Science")</f>
        <v>View Full Record in Web of Science</v>
      </c>
    </row>
    <row r="398" spans="1:72" x14ac:dyDescent="0.15">
      <c r="A398" t="s">
        <v>72</v>
      </c>
      <c r="B398" t="s">
        <v>6614</v>
      </c>
      <c r="C398" t="s">
        <v>74</v>
      </c>
      <c r="D398" t="s">
        <v>74</v>
      </c>
      <c r="E398" t="s">
        <v>74</v>
      </c>
      <c r="F398" t="s">
        <v>6615</v>
      </c>
      <c r="G398" t="s">
        <v>74</v>
      </c>
      <c r="H398" t="s">
        <v>74</v>
      </c>
      <c r="I398" t="s">
        <v>6616</v>
      </c>
      <c r="J398" t="s">
        <v>6617</v>
      </c>
      <c r="K398" t="s">
        <v>74</v>
      </c>
      <c r="L398" t="s">
        <v>74</v>
      </c>
      <c r="M398" t="s">
        <v>78</v>
      </c>
      <c r="N398" t="s">
        <v>79</v>
      </c>
      <c r="O398" t="s">
        <v>74</v>
      </c>
      <c r="P398" t="s">
        <v>74</v>
      </c>
      <c r="Q398" t="s">
        <v>74</v>
      </c>
      <c r="R398" t="s">
        <v>74</v>
      </c>
      <c r="S398" t="s">
        <v>74</v>
      </c>
      <c r="T398" t="s">
        <v>74</v>
      </c>
      <c r="U398" t="s">
        <v>6618</v>
      </c>
      <c r="V398" t="s">
        <v>6619</v>
      </c>
      <c r="W398" t="s">
        <v>6620</v>
      </c>
      <c r="X398" t="s">
        <v>6621</v>
      </c>
      <c r="Y398" t="s">
        <v>6622</v>
      </c>
      <c r="Z398" t="s">
        <v>6623</v>
      </c>
      <c r="AA398" t="s">
        <v>6624</v>
      </c>
      <c r="AB398" t="s">
        <v>6625</v>
      </c>
      <c r="AC398" t="s">
        <v>74</v>
      </c>
      <c r="AD398" t="s">
        <v>74</v>
      </c>
      <c r="AE398" t="s">
        <v>74</v>
      </c>
      <c r="AF398" t="s">
        <v>74</v>
      </c>
      <c r="AG398">
        <v>95</v>
      </c>
      <c r="AH398">
        <v>31</v>
      </c>
      <c r="AI398">
        <v>35</v>
      </c>
      <c r="AJ398">
        <v>3</v>
      </c>
      <c r="AK398">
        <v>21</v>
      </c>
      <c r="AL398" t="s">
        <v>141</v>
      </c>
      <c r="AM398" t="s">
        <v>142</v>
      </c>
      <c r="AN398" t="s">
        <v>143</v>
      </c>
      <c r="AO398" t="s">
        <v>6626</v>
      </c>
      <c r="AP398" t="s">
        <v>6627</v>
      </c>
      <c r="AQ398" t="s">
        <v>74</v>
      </c>
      <c r="AR398" t="s">
        <v>6617</v>
      </c>
      <c r="AS398" t="s">
        <v>6628</v>
      </c>
      <c r="AT398" t="s">
        <v>6609</v>
      </c>
      <c r="AU398">
        <v>2007</v>
      </c>
      <c r="AV398">
        <v>26</v>
      </c>
      <c r="AW398">
        <v>3</v>
      </c>
      <c r="AX398" t="s">
        <v>74</v>
      </c>
      <c r="AY398" t="s">
        <v>74</v>
      </c>
      <c r="AZ398" t="s">
        <v>74</v>
      </c>
      <c r="BA398" t="s">
        <v>74</v>
      </c>
      <c r="BB398" t="s">
        <v>74</v>
      </c>
      <c r="BC398" t="s">
        <v>74</v>
      </c>
      <c r="BD398" t="s">
        <v>6629</v>
      </c>
      <c r="BE398" t="s">
        <v>6630</v>
      </c>
      <c r="BF398" t="str">
        <f>HYPERLINK("http://dx.doi.org/10.1029/2006TC001983","http://dx.doi.org/10.1029/2006TC001983")</f>
        <v>http://dx.doi.org/10.1029/2006TC001983</v>
      </c>
      <c r="BG398" t="s">
        <v>74</v>
      </c>
      <c r="BH398" t="s">
        <v>74</v>
      </c>
      <c r="BI398">
        <v>30</v>
      </c>
      <c r="BJ398" t="s">
        <v>688</v>
      </c>
      <c r="BK398" t="s">
        <v>98</v>
      </c>
      <c r="BL398" t="s">
        <v>688</v>
      </c>
      <c r="BM398" t="s">
        <v>6631</v>
      </c>
      <c r="BN398" t="s">
        <v>74</v>
      </c>
      <c r="BO398" t="s">
        <v>154</v>
      </c>
      <c r="BP398" t="s">
        <v>74</v>
      </c>
      <c r="BQ398" t="s">
        <v>74</v>
      </c>
      <c r="BR398" t="s">
        <v>101</v>
      </c>
      <c r="BS398" t="s">
        <v>6632</v>
      </c>
      <c r="BT398" t="str">
        <f>HYPERLINK("https%3A%2F%2Fwww.webofscience.com%2Fwos%2Fwoscc%2Ffull-record%2FWOS:000246841500001","View Full Record in Web of Science")</f>
        <v>View Full Record in Web of Science</v>
      </c>
    </row>
    <row r="399" spans="1:72" x14ac:dyDescent="0.15">
      <c r="A399" t="s">
        <v>72</v>
      </c>
      <c r="B399" t="s">
        <v>6633</v>
      </c>
      <c r="C399" t="s">
        <v>74</v>
      </c>
      <c r="D399" t="s">
        <v>74</v>
      </c>
      <c r="E399" t="s">
        <v>74</v>
      </c>
      <c r="F399" t="s">
        <v>6634</v>
      </c>
      <c r="G399" t="s">
        <v>74</v>
      </c>
      <c r="H399" t="s">
        <v>74</v>
      </c>
      <c r="I399" t="s">
        <v>6635</v>
      </c>
      <c r="J399" t="s">
        <v>694</v>
      </c>
      <c r="K399" t="s">
        <v>74</v>
      </c>
      <c r="L399" t="s">
        <v>74</v>
      </c>
      <c r="M399" t="s">
        <v>78</v>
      </c>
      <c r="N399" t="s">
        <v>79</v>
      </c>
      <c r="O399" t="s">
        <v>74</v>
      </c>
      <c r="P399" t="s">
        <v>74</v>
      </c>
      <c r="Q399" t="s">
        <v>74</v>
      </c>
      <c r="R399" t="s">
        <v>74</v>
      </c>
      <c r="S399" t="s">
        <v>74</v>
      </c>
      <c r="T399" t="s">
        <v>6636</v>
      </c>
      <c r="U399" t="s">
        <v>6637</v>
      </c>
      <c r="V399" t="s">
        <v>6638</v>
      </c>
      <c r="W399" t="s">
        <v>6639</v>
      </c>
      <c r="X399" t="s">
        <v>6640</v>
      </c>
      <c r="Y399" t="s">
        <v>6641</v>
      </c>
      <c r="Z399" t="s">
        <v>6642</v>
      </c>
      <c r="AA399" t="s">
        <v>6643</v>
      </c>
      <c r="AB399" t="s">
        <v>6644</v>
      </c>
      <c r="AC399" t="s">
        <v>6645</v>
      </c>
      <c r="AD399" t="s">
        <v>426</v>
      </c>
      <c r="AE399" t="s">
        <v>74</v>
      </c>
      <c r="AF399" t="s">
        <v>74</v>
      </c>
      <c r="AG399">
        <v>90</v>
      </c>
      <c r="AH399">
        <v>65</v>
      </c>
      <c r="AI399">
        <v>83</v>
      </c>
      <c r="AJ399">
        <v>0</v>
      </c>
      <c r="AK399">
        <v>37</v>
      </c>
      <c r="AL399" t="s">
        <v>272</v>
      </c>
      <c r="AM399" t="s">
        <v>273</v>
      </c>
      <c r="AN399" t="s">
        <v>274</v>
      </c>
      <c r="AO399" t="s">
        <v>704</v>
      </c>
      <c r="AP399" t="s">
        <v>705</v>
      </c>
      <c r="AQ399" t="s">
        <v>74</v>
      </c>
      <c r="AR399" t="s">
        <v>706</v>
      </c>
      <c r="AS399" t="s">
        <v>707</v>
      </c>
      <c r="AT399" t="s">
        <v>6646</v>
      </c>
      <c r="AU399">
        <v>2007</v>
      </c>
      <c r="AV399">
        <v>257</v>
      </c>
      <c r="AW399" t="s">
        <v>280</v>
      </c>
      <c r="AX399" t="s">
        <v>74</v>
      </c>
      <c r="AY399" t="s">
        <v>74</v>
      </c>
      <c r="AZ399" t="s">
        <v>74</v>
      </c>
      <c r="BA399" t="s">
        <v>74</v>
      </c>
      <c r="BB399">
        <v>1</v>
      </c>
      <c r="BC399">
        <v>13</v>
      </c>
      <c r="BD399" t="s">
        <v>74</v>
      </c>
      <c r="BE399" t="s">
        <v>6647</v>
      </c>
      <c r="BF399" t="str">
        <f>HYPERLINK("http://dx.doi.org/10.1016/j.epsl.2007.03.005","http://dx.doi.org/10.1016/j.epsl.2007.03.005")</f>
        <v>http://dx.doi.org/10.1016/j.epsl.2007.03.005</v>
      </c>
      <c r="BG399" t="s">
        <v>74</v>
      </c>
      <c r="BH399" t="s">
        <v>74</v>
      </c>
      <c r="BI399">
        <v>13</v>
      </c>
      <c r="BJ399" t="s">
        <v>688</v>
      </c>
      <c r="BK399" t="s">
        <v>98</v>
      </c>
      <c r="BL399" t="s">
        <v>688</v>
      </c>
      <c r="BM399" t="s">
        <v>6648</v>
      </c>
      <c r="BN399" t="s">
        <v>74</v>
      </c>
      <c r="BO399" t="s">
        <v>74</v>
      </c>
      <c r="BP399" t="s">
        <v>74</v>
      </c>
      <c r="BQ399" t="s">
        <v>74</v>
      </c>
      <c r="BR399" t="s">
        <v>101</v>
      </c>
      <c r="BS399" t="s">
        <v>6649</v>
      </c>
      <c r="BT399" t="str">
        <f>HYPERLINK("https%3A%2F%2Fwww.webofscience.com%2Fwos%2Fwoscc%2Ffull-record%2FWOS:000246858100001","View Full Record in Web of Science")</f>
        <v>View Full Record in Web of Science</v>
      </c>
    </row>
    <row r="400" spans="1:72" x14ac:dyDescent="0.15">
      <c r="A400" t="s">
        <v>72</v>
      </c>
      <c r="B400" t="s">
        <v>6650</v>
      </c>
      <c r="C400" t="s">
        <v>74</v>
      </c>
      <c r="D400" t="s">
        <v>74</v>
      </c>
      <c r="E400" t="s">
        <v>74</v>
      </c>
      <c r="F400" t="s">
        <v>6651</v>
      </c>
      <c r="G400" t="s">
        <v>74</v>
      </c>
      <c r="H400" t="s">
        <v>74</v>
      </c>
      <c r="I400" t="s">
        <v>6652</v>
      </c>
      <c r="J400" t="s">
        <v>6653</v>
      </c>
      <c r="K400" t="s">
        <v>74</v>
      </c>
      <c r="L400" t="s">
        <v>74</v>
      </c>
      <c r="M400" t="s">
        <v>78</v>
      </c>
      <c r="N400" t="s">
        <v>514</v>
      </c>
      <c r="O400" t="s">
        <v>6654</v>
      </c>
      <c r="P400" t="s">
        <v>6655</v>
      </c>
      <c r="Q400" t="s">
        <v>6656</v>
      </c>
      <c r="R400" t="s">
        <v>74</v>
      </c>
      <c r="S400" t="s">
        <v>74</v>
      </c>
      <c r="T400" t="s">
        <v>6657</v>
      </c>
      <c r="U400" t="s">
        <v>6658</v>
      </c>
      <c r="V400" t="s">
        <v>6659</v>
      </c>
      <c r="W400" t="s">
        <v>6660</v>
      </c>
      <c r="X400" t="s">
        <v>6661</v>
      </c>
      <c r="Y400" t="s">
        <v>6662</v>
      </c>
      <c r="Z400" t="s">
        <v>6663</v>
      </c>
      <c r="AA400" t="s">
        <v>6664</v>
      </c>
      <c r="AB400" t="s">
        <v>74</v>
      </c>
      <c r="AC400" t="s">
        <v>74</v>
      </c>
      <c r="AD400" t="s">
        <v>74</v>
      </c>
      <c r="AE400" t="s">
        <v>74</v>
      </c>
      <c r="AF400" t="s">
        <v>74</v>
      </c>
      <c r="AG400">
        <v>33</v>
      </c>
      <c r="AH400">
        <v>12</v>
      </c>
      <c r="AI400">
        <v>15</v>
      </c>
      <c r="AJ400">
        <v>2</v>
      </c>
      <c r="AK400">
        <v>6</v>
      </c>
      <c r="AL400" t="s">
        <v>592</v>
      </c>
      <c r="AM400" t="s">
        <v>273</v>
      </c>
      <c r="AN400" t="s">
        <v>593</v>
      </c>
      <c r="AO400" t="s">
        <v>6665</v>
      </c>
      <c r="AP400" t="s">
        <v>6666</v>
      </c>
      <c r="AQ400" t="s">
        <v>74</v>
      </c>
      <c r="AR400" t="s">
        <v>6667</v>
      </c>
      <c r="AS400" t="s">
        <v>6668</v>
      </c>
      <c r="AT400" t="s">
        <v>6646</v>
      </c>
      <c r="AU400">
        <v>2007</v>
      </c>
      <c r="AV400">
        <v>394</v>
      </c>
      <c r="AW400">
        <v>2</v>
      </c>
      <c r="AX400" t="s">
        <v>74</v>
      </c>
      <c r="AY400" t="s">
        <v>74</v>
      </c>
      <c r="AZ400" t="s">
        <v>74</v>
      </c>
      <c r="BA400" t="s">
        <v>74</v>
      </c>
      <c r="BB400">
        <v>357</v>
      </c>
      <c r="BC400">
        <v>362</v>
      </c>
      <c r="BD400" t="s">
        <v>74</v>
      </c>
      <c r="BE400" t="s">
        <v>6669</v>
      </c>
      <c r="BF400" t="str">
        <f>HYPERLINK("http://dx.doi.org/10.1016/j.physb.2006.12.067","http://dx.doi.org/10.1016/j.physb.2006.12.067")</f>
        <v>http://dx.doi.org/10.1016/j.physb.2006.12.067</v>
      </c>
      <c r="BG400" t="s">
        <v>74</v>
      </c>
      <c r="BH400" t="s">
        <v>74</v>
      </c>
      <c r="BI400">
        <v>6</v>
      </c>
      <c r="BJ400" t="s">
        <v>6670</v>
      </c>
      <c r="BK400" t="s">
        <v>535</v>
      </c>
      <c r="BL400" t="s">
        <v>4084</v>
      </c>
      <c r="BM400" t="s">
        <v>6671</v>
      </c>
      <c r="BN400" t="s">
        <v>74</v>
      </c>
      <c r="BO400" t="s">
        <v>74</v>
      </c>
      <c r="BP400" t="s">
        <v>74</v>
      </c>
      <c r="BQ400" t="s">
        <v>74</v>
      </c>
      <c r="BR400" t="s">
        <v>101</v>
      </c>
      <c r="BS400" t="s">
        <v>6672</v>
      </c>
      <c r="BT400" t="str">
        <f>HYPERLINK("https%3A%2F%2Fwww.webofscience.com%2Fwos%2Fwoscc%2Ffull-record%2FWOS:000246642900050","View Full Record in Web of Science")</f>
        <v>View Full Record in Web of Science</v>
      </c>
    </row>
    <row r="401" spans="1:72" x14ac:dyDescent="0.15">
      <c r="A401" t="s">
        <v>72</v>
      </c>
      <c r="B401" t="s">
        <v>6673</v>
      </c>
      <c r="C401" t="s">
        <v>74</v>
      </c>
      <c r="D401" t="s">
        <v>74</v>
      </c>
      <c r="E401" t="s">
        <v>74</v>
      </c>
      <c r="F401" t="s">
        <v>6674</v>
      </c>
      <c r="G401" t="s">
        <v>74</v>
      </c>
      <c r="H401" t="s">
        <v>74</v>
      </c>
      <c r="I401" t="s">
        <v>6675</v>
      </c>
      <c r="J401" t="s">
        <v>802</v>
      </c>
      <c r="K401" t="s">
        <v>74</v>
      </c>
      <c r="L401" t="s">
        <v>74</v>
      </c>
      <c r="M401" t="s">
        <v>78</v>
      </c>
      <c r="N401" t="s">
        <v>79</v>
      </c>
      <c r="O401" t="s">
        <v>74</v>
      </c>
      <c r="P401" t="s">
        <v>74</v>
      </c>
      <c r="Q401" t="s">
        <v>74</v>
      </c>
      <c r="R401" t="s">
        <v>74</v>
      </c>
      <c r="S401" t="s">
        <v>74</v>
      </c>
      <c r="T401" t="s">
        <v>6676</v>
      </c>
      <c r="U401" t="s">
        <v>6677</v>
      </c>
      <c r="V401" t="s">
        <v>6678</v>
      </c>
      <c r="W401" t="s">
        <v>6679</v>
      </c>
      <c r="X401" t="s">
        <v>4986</v>
      </c>
      <c r="Y401" t="s">
        <v>6680</v>
      </c>
      <c r="Z401" t="s">
        <v>6681</v>
      </c>
      <c r="AA401" t="s">
        <v>74</v>
      </c>
      <c r="AB401" t="s">
        <v>74</v>
      </c>
      <c r="AC401" t="s">
        <v>74</v>
      </c>
      <c r="AD401" t="s">
        <v>74</v>
      </c>
      <c r="AE401" t="s">
        <v>74</v>
      </c>
      <c r="AF401" t="s">
        <v>74</v>
      </c>
      <c r="AG401">
        <v>79</v>
      </c>
      <c r="AH401">
        <v>35</v>
      </c>
      <c r="AI401">
        <v>39</v>
      </c>
      <c r="AJ401">
        <v>0</v>
      </c>
      <c r="AK401">
        <v>14</v>
      </c>
      <c r="AL401" t="s">
        <v>272</v>
      </c>
      <c r="AM401" t="s">
        <v>273</v>
      </c>
      <c r="AN401" t="s">
        <v>274</v>
      </c>
      <c r="AO401" t="s">
        <v>812</v>
      </c>
      <c r="AP401" t="s">
        <v>813</v>
      </c>
      <c r="AQ401" t="s">
        <v>74</v>
      </c>
      <c r="AR401" t="s">
        <v>814</v>
      </c>
      <c r="AS401" t="s">
        <v>815</v>
      </c>
      <c r="AT401" t="s">
        <v>6646</v>
      </c>
      <c r="AU401">
        <v>2007</v>
      </c>
      <c r="AV401">
        <v>198</v>
      </c>
      <c r="AW401" t="s">
        <v>280</v>
      </c>
      <c r="AX401" t="s">
        <v>74</v>
      </c>
      <c r="AY401" t="s">
        <v>74</v>
      </c>
      <c r="AZ401" t="s">
        <v>74</v>
      </c>
      <c r="BA401" t="s">
        <v>74</v>
      </c>
      <c r="BB401">
        <v>29</v>
      </c>
      <c r="BC401">
        <v>52</v>
      </c>
      <c r="BD401" t="s">
        <v>74</v>
      </c>
      <c r="BE401" t="s">
        <v>6682</v>
      </c>
      <c r="BF401" t="str">
        <f>HYPERLINK("http://dx.doi.org/10.1016/j.sedgeo.2006.11.003","http://dx.doi.org/10.1016/j.sedgeo.2006.11.003")</f>
        <v>http://dx.doi.org/10.1016/j.sedgeo.2006.11.003</v>
      </c>
      <c r="BG401" t="s">
        <v>74</v>
      </c>
      <c r="BH401" t="s">
        <v>74</v>
      </c>
      <c r="BI401">
        <v>24</v>
      </c>
      <c r="BJ401" t="s">
        <v>152</v>
      </c>
      <c r="BK401" t="s">
        <v>98</v>
      </c>
      <c r="BL401" t="s">
        <v>152</v>
      </c>
      <c r="BM401" t="s">
        <v>6683</v>
      </c>
      <c r="BN401" t="s">
        <v>74</v>
      </c>
      <c r="BO401" t="s">
        <v>74</v>
      </c>
      <c r="BP401" t="s">
        <v>74</v>
      </c>
      <c r="BQ401" t="s">
        <v>74</v>
      </c>
      <c r="BR401" t="s">
        <v>101</v>
      </c>
      <c r="BS401" t="s">
        <v>6684</v>
      </c>
      <c r="BT401" t="str">
        <f>HYPERLINK("https%3A%2F%2Fwww.webofscience.com%2Fwos%2Fwoscc%2Ffull-record%2FWOS:000246820200002","View Full Record in Web of Science")</f>
        <v>View Full Record in Web of Science</v>
      </c>
    </row>
    <row r="402" spans="1:72" x14ac:dyDescent="0.15">
      <c r="A402" t="s">
        <v>72</v>
      </c>
      <c r="B402" t="s">
        <v>6685</v>
      </c>
      <c r="C402" t="s">
        <v>74</v>
      </c>
      <c r="D402" t="s">
        <v>74</v>
      </c>
      <c r="E402" t="s">
        <v>74</v>
      </c>
      <c r="F402" t="s">
        <v>6686</v>
      </c>
      <c r="G402" t="s">
        <v>74</v>
      </c>
      <c r="H402" t="s">
        <v>74</v>
      </c>
      <c r="I402" t="s">
        <v>6687</v>
      </c>
      <c r="J402" t="s">
        <v>289</v>
      </c>
      <c r="K402" t="s">
        <v>74</v>
      </c>
      <c r="L402" t="s">
        <v>74</v>
      </c>
      <c r="M402" t="s">
        <v>78</v>
      </c>
      <c r="N402" t="s">
        <v>79</v>
      </c>
      <c r="O402" t="s">
        <v>74</v>
      </c>
      <c r="P402" t="s">
        <v>74</v>
      </c>
      <c r="Q402" t="s">
        <v>74</v>
      </c>
      <c r="R402" t="s">
        <v>74</v>
      </c>
      <c r="S402" t="s">
        <v>74</v>
      </c>
      <c r="T402" t="s">
        <v>74</v>
      </c>
      <c r="U402" t="s">
        <v>6688</v>
      </c>
      <c r="V402" t="s">
        <v>6689</v>
      </c>
      <c r="W402" t="s">
        <v>6690</v>
      </c>
      <c r="X402" t="s">
        <v>6691</v>
      </c>
      <c r="Y402" t="s">
        <v>6692</v>
      </c>
      <c r="Z402" t="s">
        <v>6693</v>
      </c>
      <c r="AA402" t="s">
        <v>74</v>
      </c>
      <c r="AB402" t="s">
        <v>74</v>
      </c>
      <c r="AC402" t="s">
        <v>74</v>
      </c>
      <c r="AD402" t="s">
        <v>74</v>
      </c>
      <c r="AE402" t="s">
        <v>74</v>
      </c>
      <c r="AF402" t="s">
        <v>74</v>
      </c>
      <c r="AG402">
        <v>65</v>
      </c>
      <c r="AH402">
        <v>44</v>
      </c>
      <c r="AI402">
        <v>46</v>
      </c>
      <c r="AJ402">
        <v>1</v>
      </c>
      <c r="AK402">
        <v>20</v>
      </c>
      <c r="AL402" t="s">
        <v>141</v>
      </c>
      <c r="AM402" t="s">
        <v>142</v>
      </c>
      <c r="AN402" t="s">
        <v>143</v>
      </c>
      <c r="AO402" t="s">
        <v>296</v>
      </c>
      <c r="AP402" t="s">
        <v>297</v>
      </c>
      <c r="AQ402" t="s">
        <v>74</v>
      </c>
      <c r="AR402" t="s">
        <v>289</v>
      </c>
      <c r="AS402" t="s">
        <v>298</v>
      </c>
      <c r="AT402" t="s">
        <v>6694</v>
      </c>
      <c r="AU402">
        <v>2007</v>
      </c>
      <c r="AV402">
        <v>22</v>
      </c>
      <c r="AW402">
        <v>2</v>
      </c>
      <c r="AX402" t="s">
        <v>74</v>
      </c>
      <c r="AY402" t="s">
        <v>74</v>
      </c>
      <c r="AZ402" t="s">
        <v>74</v>
      </c>
      <c r="BA402" t="s">
        <v>74</v>
      </c>
      <c r="BB402" t="s">
        <v>74</v>
      </c>
      <c r="BC402" t="s">
        <v>74</v>
      </c>
      <c r="BD402" t="s">
        <v>6695</v>
      </c>
      <c r="BE402" t="s">
        <v>6696</v>
      </c>
      <c r="BF402" t="str">
        <f>HYPERLINK("http://dx.doi.org/10.1029/2006PA001297","http://dx.doi.org/10.1029/2006PA001297")</f>
        <v>http://dx.doi.org/10.1029/2006PA001297</v>
      </c>
      <c r="BG402" t="s">
        <v>74</v>
      </c>
      <c r="BH402" t="s">
        <v>74</v>
      </c>
      <c r="BI402">
        <v>10</v>
      </c>
      <c r="BJ402" t="s">
        <v>301</v>
      </c>
      <c r="BK402" t="s">
        <v>98</v>
      </c>
      <c r="BL402" t="s">
        <v>302</v>
      </c>
      <c r="BM402" t="s">
        <v>6697</v>
      </c>
      <c r="BN402" t="s">
        <v>74</v>
      </c>
      <c r="BO402" t="s">
        <v>74</v>
      </c>
      <c r="BP402" t="s">
        <v>74</v>
      </c>
      <c r="BQ402" t="s">
        <v>74</v>
      </c>
      <c r="BR402" t="s">
        <v>101</v>
      </c>
      <c r="BS402" t="s">
        <v>6698</v>
      </c>
      <c r="BT402" t="str">
        <f>HYPERLINK("https%3A%2F%2Fwww.webofscience.com%2Fwos%2Fwoscc%2Ffull-record%2FWOS:000246499500001","View Full Record in Web of Science")</f>
        <v>View Full Record in Web of Science</v>
      </c>
    </row>
    <row r="403" spans="1:72" x14ac:dyDescent="0.15">
      <c r="A403" t="s">
        <v>72</v>
      </c>
      <c r="B403" t="s">
        <v>6699</v>
      </c>
      <c r="C403" t="s">
        <v>74</v>
      </c>
      <c r="D403" t="s">
        <v>74</v>
      </c>
      <c r="E403" t="s">
        <v>74</v>
      </c>
      <c r="F403" t="s">
        <v>6700</v>
      </c>
      <c r="G403" t="s">
        <v>74</v>
      </c>
      <c r="H403" t="s">
        <v>74</v>
      </c>
      <c r="I403" t="s">
        <v>6701</v>
      </c>
      <c r="J403" t="s">
        <v>203</v>
      </c>
      <c r="K403" t="s">
        <v>74</v>
      </c>
      <c r="L403" t="s">
        <v>74</v>
      </c>
      <c r="M403" t="s">
        <v>78</v>
      </c>
      <c r="N403" t="s">
        <v>79</v>
      </c>
      <c r="O403" t="s">
        <v>74</v>
      </c>
      <c r="P403" t="s">
        <v>74</v>
      </c>
      <c r="Q403" t="s">
        <v>74</v>
      </c>
      <c r="R403" t="s">
        <v>74</v>
      </c>
      <c r="S403" t="s">
        <v>74</v>
      </c>
      <c r="T403" t="s">
        <v>74</v>
      </c>
      <c r="U403" t="s">
        <v>6702</v>
      </c>
      <c r="V403" t="s">
        <v>6703</v>
      </c>
      <c r="W403" t="s">
        <v>6704</v>
      </c>
      <c r="X403" t="s">
        <v>6705</v>
      </c>
      <c r="Y403" t="s">
        <v>6706</v>
      </c>
      <c r="Z403" t="s">
        <v>6707</v>
      </c>
      <c r="AA403" t="s">
        <v>6708</v>
      </c>
      <c r="AB403" t="s">
        <v>6709</v>
      </c>
      <c r="AC403" t="s">
        <v>74</v>
      </c>
      <c r="AD403" t="s">
        <v>74</v>
      </c>
      <c r="AE403" t="s">
        <v>74</v>
      </c>
      <c r="AF403" t="s">
        <v>74</v>
      </c>
      <c r="AG403">
        <v>17</v>
      </c>
      <c r="AH403">
        <v>17</v>
      </c>
      <c r="AI403">
        <v>19</v>
      </c>
      <c r="AJ403">
        <v>0</v>
      </c>
      <c r="AK403">
        <v>6</v>
      </c>
      <c r="AL403" t="s">
        <v>141</v>
      </c>
      <c r="AM403" t="s">
        <v>142</v>
      </c>
      <c r="AN403" t="s">
        <v>143</v>
      </c>
      <c r="AO403" t="s">
        <v>213</v>
      </c>
      <c r="AP403" t="s">
        <v>214</v>
      </c>
      <c r="AQ403" t="s">
        <v>74</v>
      </c>
      <c r="AR403" t="s">
        <v>215</v>
      </c>
      <c r="AS403" t="s">
        <v>216</v>
      </c>
      <c r="AT403" t="s">
        <v>6710</v>
      </c>
      <c r="AU403">
        <v>2007</v>
      </c>
      <c r="AV403">
        <v>112</v>
      </c>
      <c r="AW403" t="s">
        <v>6392</v>
      </c>
      <c r="AX403" t="s">
        <v>74</v>
      </c>
      <c r="AY403" t="s">
        <v>74</v>
      </c>
      <c r="AZ403" t="s">
        <v>74</v>
      </c>
      <c r="BA403" t="s">
        <v>74</v>
      </c>
      <c r="BB403" t="s">
        <v>74</v>
      </c>
      <c r="BC403" t="s">
        <v>74</v>
      </c>
      <c r="BD403" t="s">
        <v>6711</v>
      </c>
      <c r="BE403" t="s">
        <v>6712</v>
      </c>
      <c r="BF403" t="str">
        <f>HYPERLINK("http://dx.doi.org/10.1029/2006JC003712","http://dx.doi.org/10.1029/2006JC003712")</f>
        <v>http://dx.doi.org/10.1029/2006JC003712</v>
      </c>
      <c r="BG403" t="s">
        <v>74</v>
      </c>
      <c r="BH403" t="s">
        <v>74</v>
      </c>
      <c r="BI403">
        <v>19</v>
      </c>
      <c r="BJ403" t="s">
        <v>221</v>
      </c>
      <c r="BK403" t="s">
        <v>98</v>
      </c>
      <c r="BL403" t="s">
        <v>221</v>
      </c>
      <c r="BM403" t="s">
        <v>6713</v>
      </c>
      <c r="BN403" t="s">
        <v>74</v>
      </c>
      <c r="BO403" t="s">
        <v>154</v>
      </c>
      <c r="BP403" t="s">
        <v>74</v>
      </c>
      <c r="BQ403" t="s">
        <v>74</v>
      </c>
      <c r="BR403" t="s">
        <v>101</v>
      </c>
      <c r="BS403" t="s">
        <v>6714</v>
      </c>
      <c r="BT403" t="str">
        <f>HYPERLINK("https%3A%2F%2Fwww.webofscience.com%2Fwos%2Fwoscc%2Ffull-record%2FWOS:000246497200004","View Full Record in Web of Science")</f>
        <v>View Full Record in Web of Science</v>
      </c>
    </row>
    <row r="404" spans="1:72" x14ac:dyDescent="0.15">
      <c r="A404" t="s">
        <v>72</v>
      </c>
      <c r="B404" t="s">
        <v>6715</v>
      </c>
      <c r="C404" t="s">
        <v>74</v>
      </c>
      <c r="D404" t="s">
        <v>74</v>
      </c>
      <c r="E404" t="s">
        <v>74</v>
      </c>
      <c r="F404" t="s">
        <v>6716</v>
      </c>
      <c r="G404" t="s">
        <v>74</v>
      </c>
      <c r="H404" t="s">
        <v>74</v>
      </c>
      <c r="I404" t="s">
        <v>6717</v>
      </c>
      <c r="J404" t="s">
        <v>416</v>
      </c>
      <c r="K404" t="s">
        <v>74</v>
      </c>
      <c r="L404" t="s">
        <v>74</v>
      </c>
      <c r="M404" t="s">
        <v>78</v>
      </c>
      <c r="N404" t="s">
        <v>79</v>
      </c>
      <c r="O404" t="s">
        <v>74</v>
      </c>
      <c r="P404" t="s">
        <v>74</v>
      </c>
      <c r="Q404" t="s">
        <v>74</v>
      </c>
      <c r="R404" t="s">
        <v>74</v>
      </c>
      <c r="S404" t="s">
        <v>74</v>
      </c>
      <c r="T404" t="s">
        <v>74</v>
      </c>
      <c r="U404" t="s">
        <v>6718</v>
      </c>
      <c r="V404" t="s">
        <v>6719</v>
      </c>
      <c r="W404" t="s">
        <v>6720</v>
      </c>
      <c r="X404" t="s">
        <v>562</v>
      </c>
      <c r="Y404" t="s">
        <v>6721</v>
      </c>
      <c r="Z404" t="s">
        <v>6722</v>
      </c>
      <c r="AA404" t="s">
        <v>6723</v>
      </c>
      <c r="AB404" t="s">
        <v>6724</v>
      </c>
      <c r="AC404" t="s">
        <v>74</v>
      </c>
      <c r="AD404" t="s">
        <v>74</v>
      </c>
      <c r="AE404" t="s">
        <v>74</v>
      </c>
      <c r="AF404" t="s">
        <v>74</v>
      </c>
      <c r="AG404">
        <v>47</v>
      </c>
      <c r="AH404">
        <v>73</v>
      </c>
      <c r="AI404">
        <v>83</v>
      </c>
      <c r="AJ404">
        <v>0</v>
      </c>
      <c r="AK404">
        <v>8</v>
      </c>
      <c r="AL404" t="s">
        <v>141</v>
      </c>
      <c r="AM404" t="s">
        <v>142</v>
      </c>
      <c r="AN404" t="s">
        <v>143</v>
      </c>
      <c r="AO404" t="s">
        <v>427</v>
      </c>
      <c r="AP404" t="s">
        <v>428</v>
      </c>
      <c r="AQ404" t="s">
        <v>74</v>
      </c>
      <c r="AR404" t="s">
        <v>429</v>
      </c>
      <c r="AS404" t="s">
        <v>430</v>
      </c>
      <c r="AT404" t="s">
        <v>6725</v>
      </c>
      <c r="AU404">
        <v>2007</v>
      </c>
      <c r="AV404">
        <v>112</v>
      </c>
      <c r="AW404" t="s">
        <v>6726</v>
      </c>
      <c r="AX404" t="s">
        <v>74</v>
      </c>
      <c r="AY404" t="s">
        <v>74</v>
      </c>
      <c r="AZ404" t="s">
        <v>74</v>
      </c>
      <c r="BA404" t="s">
        <v>74</v>
      </c>
      <c r="BB404" t="s">
        <v>74</v>
      </c>
      <c r="BC404" t="s">
        <v>74</v>
      </c>
      <c r="BD404" t="s">
        <v>6727</v>
      </c>
      <c r="BE404" t="s">
        <v>6728</v>
      </c>
      <c r="BF404" t="str">
        <f>HYPERLINK("http://dx.doi.org/10.1029/2005JD006179","http://dx.doi.org/10.1029/2005JD006179")</f>
        <v>http://dx.doi.org/10.1029/2005JD006179</v>
      </c>
      <c r="BG404" t="s">
        <v>74</v>
      </c>
      <c r="BH404" t="s">
        <v>74</v>
      </c>
      <c r="BI404">
        <v>17</v>
      </c>
      <c r="BJ404" t="s">
        <v>435</v>
      </c>
      <c r="BK404" t="s">
        <v>98</v>
      </c>
      <c r="BL404" t="s">
        <v>435</v>
      </c>
      <c r="BM404" t="s">
        <v>6729</v>
      </c>
      <c r="BN404" t="s">
        <v>74</v>
      </c>
      <c r="BO404" t="s">
        <v>304</v>
      </c>
      <c r="BP404" t="s">
        <v>74</v>
      </c>
      <c r="BQ404" t="s">
        <v>74</v>
      </c>
      <c r="BR404" t="s">
        <v>101</v>
      </c>
      <c r="BS404" t="s">
        <v>6730</v>
      </c>
      <c r="BT404" t="str">
        <f>HYPERLINK("https%3A%2F%2Fwww.webofscience.com%2Fwos%2Fwoscc%2Ffull-record%2FWOS:000246494800001","View Full Record in Web of Science")</f>
        <v>View Full Record in Web of Science</v>
      </c>
    </row>
    <row r="405" spans="1:72" x14ac:dyDescent="0.15">
      <c r="A405" t="s">
        <v>72</v>
      </c>
      <c r="B405" t="s">
        <v>6731</v>
      </c>
      <c r="C405" t="s">
        <v>74</v>
      </c>
      <c r="D405" t="s">
        <v>74</v>
      </c>
      <c r="E405" t="s">
        <v>74</v>
      </c>
      <c r="F405" t="s">
        <v>6732</v>
      </c>
      <c r="G405" t="s">
        <v>74</v>
      </c>
      <c r="H405" t="s">
        <v>74</v>
      </c>
      <c r="I405" t="s">
        <v>6733</v>
      </c>
      <c r="J405" t="s">
        <v>351</v>
      </c>
      <c r="K405" t="s">
        <v>74</v>
      </c>
      <c r="L405" t="s">
        <v>74</v>
      </c>
      <c r="M405" t="s">
        <v>78</v>
      </c>
      <c r="N405" t="s">
        <v>79</v>
      </c>
      <c r="O405" t="s">
        <v>74</v>
      </c>
      <c r="P405" t="s">
        <v>74</v>
      </c>
      <c r="Q405" t="s">
        <v>74</v>
      </c>
      <c r="R405" t="s">
        <v>74</v>
      </c>
      <c r="S405" t="s">
        <v>74</v>
      </c>
      <c r="T405" t="s">
        <v>74</v>
      </c>
      <c r="U405" t="s">
        <v>6734</v>
      </c>
      <c r="V405" t="s">
        <v>6735</v>
      </c>
      <c r="W405" t="s">
        <v>6736</v>
      </c>
      <c r="X405" t="s">
        <v>6737</v>
      </c>
      <c r="Y405" t="s">
        <v>6738</v>
      </c>
      <c r="Z405" t="s">
        <v>6739</v>
      </c>
      <c r="AA405" t="s">
        <v>6740</v>
      </c>
      <c r="AB405" t="s">
        <v>6741</v>
      </c>
      <c r="AC405" t="s">
        <v>6742</v>
      </c>
      <c r="AD405" t="s">
        <v>426</v>
      </c>
      <c r="AE405" t="s">
        <v>74</v>
      </c>
      <c r="AF405" t="s">
        <v>74</v>
      </c>
      <c r="AG405">
        <v>32</v>
      </c>
      <c r="AH405">
        <v>70</v>
      </c>
      <c r="AI405">
        <v>76</v>
      </c>
      <c r="AJ405">
        <v>0</v>
      </c>
      <c r="AK405">
        <v>25</v>
      </c>
      <c r="AL405" t="s">
        <v>362</v>
      </c>
      <c r="AM405" t="s">
        <v>363</v>
      </c>
      <c r="AN405" t="s">
        <v>364</v>
      </c>
      <c r="AO405" t="s">
        <v>365</v>
      </c>
      <c r="AP405" t="s">
        <v>366</v>
      </c>
      <c r="AQ405" t="s">
        <v>74</v>
      </c>
      <c r="AR405" t="s">
        <v>351</v>
      </c>
      <c r="AS405" t="s">
        <v>367</v>
      </c>
      <c r="AT405" t="s">
        <v>6725</v>
      </c>
      <c r="AU405">
        <v>2007</v>
      </c>
      <c r="AV405">
        <v>447</v>
      </c>
      <c r="AW405">
        <v>7141</v>
      </c>
      <c r="AX405" t="s">
        <v>74</v>
      </c>
      <c r="AY405" t="s">
        <v>74</v>
      </c>
      <c r="AZ405" t="s">
        <v>74</v>
      </c>
      <c r="BA405" t="s">
        <v>74</v>
      </c>
      <c r="BB405">
        <v>194</v>
      </c>
      <c r="BC405">
        <v>197</v>
      </c>
      <c r="BD405" t="s">
        <v>74</v>
      </c>
      <c r="BE405" t="s">
        <v>6743</v>
      </c>
      <c r="BF405" t="str">
        <f>HYPERLINK("http://dx.doi.org/10.1038/nature05832","http://dx.doi.org/10.1038/nature05832")</f>
        <v>http://dx.doi.org/10.1038/nature05832</v>
      </c>
      <c r="BG405" t="s">
        <v>74</v>
      </c>
      <c r="BH405" t="s">
        <v>74</v>
      </c>
      <c r="BI405">
        <v>4</v>
      </c>
      <c r="BJ405" t="s">
        <v>241</v>
      </c>
      <c r="BK405" t="s">
        <v>98</v>
      </c>
      <c r="BL405" t="s">
        <v>242</v>
      </c>
      <c r="BM405" t="s">
        <v>6744</v>
      </c>
      <c r="BN405">
        <v>17495923</v>
      </c>
      <c r="BO405" t="s">
        <v>74</v>
      </c>
      <c r="BP405" t="s">
        <v>74</v>
      </c>
      <c r="BQ405" t="s">
        <v>74</v>
      </c>
      <c r="BR405" t="s">
        <v>101</v>
      </c>
      <c r="BS405" t="s">
        <v>6745</v>
      </c>
      <c r="BT405" t="str">
        <f>HYPERLINK("https%3A%2F%2Fwww.webofscience.com%2Fwos%2Fwoscc%2Ffull-record%2FWOS:000246338700040","View Full Record in Web of Science")</f>
        <v>View Full Record in Web of Science</v>
      </c>
    </row>
    <row r="406" spans="1:72" x14ac:dyDescent="0.15">
      <c r="A406" t="s">
        <v>72</v>
      </c>
      <c r="B406" t="s">
        <v>6746</v>
      </c>
      <c r="C406" t="s">
        <v>74</v>
      </c>
      <c r="D406" t="s">
        <v>74</v>
      </c>
      <c r="E406" t="s">
        <v>74</v>
      </c>
      <c r="F406" t="s">
        <v>6747</v>
      </c>
      <c r="G406" t="s">
        <v>74</v>
      </c>
      <c r="H406" t="s">
        <v>74</v>
      </c>
      <c r="I406" t="s">
        <v>6748</v>
      </c>
      <c r="J406" t="s">
        <v>289</v>
      </c>
      <c r="K406" t="s">
        <v>74</v>
      </c>
      <c r="L406" t="s">
        <v>74</v>
      </c>
      <c r="M406" t="s">
        <v>78</v>
      </c>
      <c r="N406" t="s">
        <v>79</v>
      </c>
      <c r="O406" t="s">
        <v>74</v>
      </c>
      <c r="P406" t="s">
        <v>74</v>
      </c>
      <c r="Q406" t="s">
        <v>74</v>
      </c>
      <c r="R406" t="s">
        <v>74</v>
      </c>
      <c r="S406" t="s">
        <v>74</v>
      </c>
      <c r="T406" t="s">
        <v>74</v>
      </c>
      <c r="U406" t="s">
        <v>6749</v>
      </c>
      <c r="V406" t="s">
        <v>6750</v>
      </c>
      <c r="W406" t="s">
        <v>6751</v>
      </c>
      <c r="X406" t="s">
        <v>6752</v>
      </c>
      <c r="Y406" t="s">
        <v>6753</v>
      </c>
      <c r="Z406" t="s">
        <v>6754</v>
      </c>
      <c r="AA406" t="s">
        <v>6755</v>
      </c>
      <c r="AB406" t="s">
        <v>6756</v>
      </c>
      <c r="AC406" t="s">
        <v>74</v>
      </c>
      <c r="AD406" t="s">
        <v>74</v>
      </c>
      <c r="AE406" t="s">
        <v>74</v>
      </c>
      <c r="AF406" t="s">
        <v>74</v>
      </c>
      <c r="AG406">
        <v>31</v>
      </c>
      <c r="AH406">
        <v>22</v>
      </c>
      <c r="AI406">
        <v>24</v>
      </c>
      <c r="AJ406">
        <v>1</v>
      </c>
      <c r="AK406">
        <v>16</v>
      </c>
      <c r="AL406" t="s">
        <v>141</v>
      </c>
      <c r="AM406" t="s">
        <v>142</v>
      </c>
      <c r="AN406" t="s">
        <v>143</v>
      </c>
      <c r="AO406" t="s">
        <v>296</v>
      </c>
      <c r="AP406" t="s">
        <v>297</v>
      </c>
      <c r="AQ406" t="s">
        <v>74</v>
      </c>
      <c r="AR406" t="s">
        <v>289</v>
      </c>
      <c r="AS406" t="s">
        <v>298</v>
      </c>
      <c r="AT406" t="s">
        <v>6757</v>
      </c>
      <c r="AU406">
        <v>2007</v>
      </c>
      <c r="AV406">
        <v>22</v>
      </c>
      <c r="AW406">
        <v>2</v>
      </c>
      <c r="AX406" t="s">
        <v>74</v>
      </c>
      <c r="AY406" t="s">
        <v>74</v>
      </c>
      <c r="AZ406" t="s">
        <v>74</v>
      </c>
      <c r="BA406" t="s">
        <v>74</v>
      </c>
      <c r="BB406" t="s">
        <v>74</v>
      </c>
      <c r="BC406" t="s">
        <v>74</v>
      </c>
      <c r="BD406" t="s">
        <v>6758</v>
      </c>
      <c r="BE406" t="s">
        <v>6759</v>
      </c>
      <c r="BF406" t="str">
        <f>HYPERLINK("http://dx.doi.org/10.1029/2006PA001309","http://dx.doi.org/10.1029/2006PA001309")</f>
        <v>http://dx.doi.org/10.1029/2006PA001309</v>
      </c>
      <c r="BG406" t="s">
        <v>74</v>
      </c>
      <c r="BH406" t="s">
        <v>74</v>
      </c>
      <c r="BI406">
        <v>11</v>
      </c>
      <c r="BJ406" t="s">
        <v>301</v>
      </c>
      <c r="BK406" t="s">
        <v>98</v>
      </c>
      <c r="BL406" t="s">
        <v>302</v>
      </c>
      <c r="BM406" t="s">
        <v>6760</v>
      </c>
      <c r="BN406" t="s">
        <v>74</v>
      </c>
      <c r="BO406" t="s">
        <v>3113</v>
      </c>
      <c r="BP406" t="s">
        <v>74</v>
      </c>
      <c r="BQ406" t="s">
        <v>74</v>
      </c>
      <c r="BR406" t="s">
        <v>101</v>
      </c>
      <c r="BS406" t="s">
        <v>6761</v>
      </c>
      <c r="BT406" t="str">
        <f>HYPERLINK("https%3A%2F%2Fwww.webofscience.com%2Fwos%2Fwoscc%2Ffull-record%2FWOS:000246499400002","View Full Record in Web of Science")</f>
        <v>View Full Record in Web of Science</v>
      </c>
    </row>
    <row r="407" spans="1:72" x14ac:dyDescent="0.15">
      <c r="A407" t="s">
        <v>72</v>
      </c>
      <c r="B407" t="s">
        <v>6762</v>
      </c>
      <c r="C407" t="s">
        <v>74</v>
      </c>
      <c r="D407" t="s">
        <v>74</v>
      </c>
      <c r="E407" t="s">
        <v>74</v>
      </c>
      <c r="F407" t="s">
        <v>6763</v>
      </c>
      <c r="G407" t="s">
        <v>74</v>
      </c>
      <c r="H407" t="s">
        <v>74</v>
      </c>
      <c r="I407" t="s">
        <v>6764</v>
      </c>
      <c r="J407" t="s">
        <v>289</v>
      </c>
      <c r="K407" t="s">
        <v>74</v>
      </c>
      <c r="L407" t="s">
        <v>74</v>
      </c>
      <c r="M407" t="s">
        <v>78</v>
      </c>
      <c r="N407" t="s">
        <v>79</v>
      </c>
      <c r="O407" t="s">
        <v>74</v>
      </c>
      <c r="P407" t="s">
        <v>74</v>
      </c>
      <c r="Q407" t="s">
        <v>74</v>
      </c>
      <c r="R407" t="s">
        <v>74</v>
      </c>
      <c r="S407" t="s">
        <v>74</v>
      </c>
      <c r="T407" t="s">
        <v>74</v>
      </c>
      <c r="U407" t="s">
        <v>6765</v>
      </c>
      <c r="V407" t="s">
        <v>6766</v>
      </c>
      <c r="W407" t="s">
        <v>6767</v>
      </c>
      <c r="X407" t="s">
        <v>6768</v>
      </c>
      <c r="Y407" t="s">
        <v>6769</v>
      </c>
      <c r="Z407" t="s">
        <v>6770</v>
      </c>
      <c r="AA407" t="s">
        <v>6771</v>
      </c>
      <c r="AB407" t="s">
        <v>6772</v>
      </c>
      <c r="AC407" t="s">
        <v>6773</v>
      </c>
      <c r="AD407" t="s">
        <v>361</v>
      </c>
      <c r="AE407" t="s">
        <v>74</v>
      </c>
      <c r="AF407" t="s">
        <v>74</v>
      </c>
      <c r="AG407">
        <v>88</v>
      </c>
      <c r="AH407">
        <v>64</v>
      </c>
      <c r="AI407">
        <v>74</v>
      </c>
      <c r="AJ407">
        <v>3</v>
      </c>
      <c r="AK407">
        <v>40</v>
      </c>
      <c r="AL407" t="s">
        <v>141</v>
      </c>
      <c r="AM407" t="s">
        <v>142</v>
      </c>
      <c r="AN407" t="s">
        <v>143</v>
      </c>
      <c r="AO407" t="s">
        <v>296</v>
      </c>
      <c r="AP407" t="s">
        <v>297</v>
      </c>
      <c r="AQ407" t="s">
        <v>74</v>
      </c>
      <c r="AR407" t="s">
        <v>289</v>
      </c>
      <c r="AS407" t="s">
        <v>298</v>
      </c>
      <c r="AT407" t="s">
        <v>6757</v>
      </c>
      <c r="AU407">
        <v>2007</v>
      </c>
      <c r="AV407">
        <v>22</v>
      </c>
      <c r="AW407">
        <v>2</v>
      </c>
      <c r="AX407" t="s">
        <v>74</v>
      </c>
      <c r="AY407" t="s">
        <v>74</v>
      </c>
      <c r="AZ407" t="s">
        <v>74</v>
      </c>
      <c r="BA407" t="s">
        <v>74</v>
      </c>
      <c r="BB407" t="s">
        <v>74</v>
      </c>
      <c r="BC407" t="s">
        <v>74</v>
      </c>
      <c r="BD407" t="s">
        <v>6774</v>
      </c>
      <c r="BE407" t="s">
        <v>6775</v>
      </c>
      <c r="BF407" t="str">
        <f>HYPERLINK("http://dx.doi.org/10.1029/2005PA001242","http://dx.doi.org/10.1029/2005PA001242")</f>
        <v>http://dx.doi.org/10.1029/2005PA001242</v>
      </c>
      <c r="BG407" t="s">
        <v>74</v>
      </c>
      <c r="BH407" t="s">
        <v>74</v>
      </c>
      <c r="BI407">
        <v>15</v>
      </c>
      <c r="BJ407" t="s">
        <v>301</v>
      </c>
      <c r="BK407" t="s">
        <v>98</v>
      </c>
      <c r="BL407" t="s">
        <v>302</v>
      </c>
      <c r="BM407" t="s">
        <v>6760</v>
      </c>
      <c r="BN407" t="s">
        <v>74</v>
      </c>
      <c r="BO407" t="s">
        <v>154</v>
      </c>
      <c r="BP407" t="s">
        <v>74</v>
      </c>
      <c r="BQ407" t="s">
        <v>74</v>
      </c>
      <c r="BR407" t="s">
        <v>101</v>
      </c>
      <c r="BS407" t="s">
        <v>6776</v>
      </c>
      <c r="BT407" t="str">
        <f>HYPERLINK("https%3A%2F%2Fwww.webofscience.com%2Fwos%2Fwoscc%2Ffull-record%2FWOS:000246499400001","View Full Record in Web of Science")</f>
        <v>View Full Record in Web of Science</v>
      </c>
    </row>
    <row r="408" spans="1:72" x14ac:dyDescent="0.15">
      <c r="A408" t="s">
        <v>72</v>
      </c>
      <c r="B408" t="s">
        <v>6777</v>
      </c>
      <c r="C408" t="s">
        <v>74</v>
      </c>
      <c r="D408" t="s">
        <v>74</v>
      </c>
      <c r="E408" t="s">
        <v>74</v>
      </c>
      <c r="F408" t="s">
        <v>6778</v>
      </c>
      <c r="G408" t="s">
        <v>74</v>
      </c>
      <c r="H408" t="s">
        <v>74</v>
      </c>
      <c r="I408" t="s">
        <v>6779</v>
      </c>
      <c r="J408" t="s">
        <v>416</v>
      </c>
      <c r="K408" t="s">
        <v>74</v>
      </c>
      <c r="L408" t="s">
        <v>74</v>
      </c>
      <c r="M408" t="s">
        <v>78</v>
      </c>
      <c r="N408" t="s">
        <v>79</v>
      </c>
      <c r="O408" t="s">
        <v>74</v>
      </c>
      <c r="P408" t="s">
        <v>74</v>
      </c>
      <c r="Q408" t="s">
        <v>74</v>
      </c>
      <c r="R408" t="s">
        <v>74</v>
      </c>
      <c r="S408" t="s">
        <v>74</v>
      </c>
      <c r="T408" t="s">
        <v>74</v>
      </c>
      <c r="U408" t="s">
        <v>6780</v>
      </c>
      <c r="V408" t="s">
        <v>6781</v>
      </c>
      <c r="W408" t="s">
        <v>6782</v>
      </c>
      <c r="X408" t="s">
        <v>6783</v>
      </c>
      <c r="Y408" t="s">
        <v>6784</v>
      </c>
      <c r="Z408" t="s">
        <v>6785</v>
      </c>
      <c r="AA408" t="s">
        <v>6786</v>
      </c>
      <c r="AB408" t="s">
        <v>6787</v>
      </c>
      <c r="AC408" t="s">
        <v>74</v>
      </c>
      <c r="AD408" t="s">
        <v>74</v>
      </c>
      <c r="AE408" t="s">
        <v>74</v>
      </c>
      <c r="AF408" t="s">
        <v>74</v>
      </c>
      <c r="AG408">
        <v>60</v>
      </c>
      <c r="AH408">
        <v>76</v>
      </c>
      <c r="AI408">
        <v>86</v>
      </c>
      <c r="AJ408">
        <v>0</v>
      </c>
      <c r="AK408">
        <v>35</v>
      </c>
      <c r="AL408" t="s">
        <v>141</v>
      </c>
      <c r="AM408" t="s">
        <v>142</v>
      </c>
      <c r="AN408" t="s">
        <v>143</v>
      </c>
      <c r="AO408" t="s">
        <v>427</v>
      </c>
      <c r="AP408" t="s">
        <v>428</v>
      </c>
      <c r="AQ408" t="s">
        <v>74</v>
      </c>
      <c r="AR408" t="s">
        <v>429</v>
      </c>
      <c r="AS408" t="s">
        <v>430</v>
      </c>
      <c r="AT408" t="s">
        <v>6788</v>
      </c>
      <c r="AU408">
        <v>2007</v>
      </c>
      <c r="AV408">
        <v>112</v>
      </c>
      <c r="AW408" t="s">
        <v>6726</v>
      </c>
      <c r="AX408" t="s">
        <v>74</v>
      </c>
      <c r="AY408" t="s">
        <v>74</v>
      </c>
      <c r="AZ408" t="s">
        <v>74</v>
      </c>
      <c r="BA408" t="s">
        <v>74</v>
      </c>
      <c r="BB408" t="s">
        <v>74</v>
      </c>
      <c r="BC408" t="s">
        <v>74</v>
      </c>
      <c r="BD408" t="s">
        <v>6789</v>
      </c>
      <c r="BE408" t="s">
        <v>6790</v>
      </c>
      <c r="BF408" t="str">
        <f>HYPERLINK("http://dx.doi.org/10.1029/2006JD007461","http://dx.doi.org/10.1029/2006JD007461")</f>
        <v>http://dx.doi.org/10.1029/2006JD007461</v>
      </c>
      <c r="BG408" t="s">
        <v>74</v>
      </c>
      <c r="BH408" t="s">
        <v>74</v>
      </c>
      <c r="BI408">
        <v>18</v>
      </c>
      <c r="BJ408" t="s">
        <v>435</v>
      </c>
      <c r="BK408" t="s">
        <v>98</v>
      </c>
      <c r="BL408" t="s">
        <v>435</v>
      </c>
      <c r="BM408" t="s">
        <v>6791</v>
      </c>
      <c r="BN408" t="s">
        <v>74</v>
      </c>
      <c r="BO408" t="s">
        <v>74</v>
      </c>
      <c r="BP408" t="s">
        <v>74</v>
      </c>
      <c r="BQ408" t="s">
        <v>74</v>
      </c>
      <c r="BR408" t="s">
        <v>101</v>
      </c>
      <c r="BS408" t="s">
        <v>6792</v>
      </c>
      <c r="BT408" t="str">
        <f>HYPERLINK("https%3A%2F%2Fwww.webofscience.com%2Fwos%2Fwoscc%2Ffull-record%2FWOS:000246494600003","View Full Record in Web of Science")</f>
        <v>View Full Record in Web of Science</v>
      </c>
    </row>
    <row r="409" spans="1:72" x14ac:dyDescent="0.15">
      <c r="A409" t="s">
        <v>72</v>
      </c>
      <c r="B409" t="s">
        <v>6793</v>
      </c>
      <c r="C409" t="s">
        <v>74</v>
      </c>
      <c r="D409" t="s">
        <v>74</v>
      </c>
      <c r="E409" t="s">
        <v>74</v>
      </c>
      <c r="F409" t="s">
        <v>6794</v>
      </c>
      <c r="G409" t="s">
        <v>74</v>
      </c>
      <c r="H409" t="s">
        <v>74</v>
      </c>
      <c r="I409" t="s">
        <v>6795</v>
      </c>
      <c r="J409" t="s">
        <v>416</v>
      </c>
      <c r="K409" t="s">
        <v>74</v>
      </c>
      <c r="L409" t="s">
        <v>74</v>
      </c>
      <c r="M409" t="s">
        <v>78</v>
      </c>
      <c r="N409" t="s">
        <v>79</v>
      </c>
      <c r="O409" t="s">
        <v>74</v>
      </c>
      <c r="P409" t="s">
        <v>74</v>
      </c>
      <c r="Q409" t="s">
        <v>74</v>
      </c>
      <c r="R409" t="s">
        <v>74</v>
      </c>
      <c r="S409" t="s">
        <v>74</v>
      </c>
      <c r="T409" t="s">
        <v>74</v>
      </c>
      <c r="U409" t="s">
        <v>6796</v>
      </c>
      <c r="V409" t="s">
        <v>6797</v>
      </c>
      <c r="W409" t="s">
        <v>6798</v>
      </c>
      <c r="X409" t="s">
        <v>6799</v>
      </c>
      <c r="Y409" t="s">
        <v>6800</v>
      </c>
      <c r="Z409" t="s">
        <v>6801</v>
      </c>
      <c r="AA409" t="s">
        <v>6802</v>
      </c>
      <c r="AB409" t="s">
        <v>6803</v>
      </c>
      <c r="AC409" t="s">
        <v>74</v>
      </c>
      <c r="AD409" t="s">
        <v>74</v>
      </c>
      <c r="AE409" t="s">
        <v>74</v>
      </c>
      <c r="AF409" t="s">
        <v>74</v>
      </c>
      <c r="AG409">
        <v>23</v>
      </c>
      <c r="AH409">
        <v>121</v>
      </c>
      <c r="AI409">
        <v>133</v>
      </c>
      <c r="AJ409">
        <v>1</v>
      </c>
      <c r="AK409">
        <v>28</v>
      </c>
      <c r="AL409" t="s">
        <v>141</v>
      </c>
      <c r="AM409" t="s">
        <v>142</v>
      </c>
      <c r="AN409" t="s">
        <v>143</v>
      </c>
      <c r="AO409" t="s">
        <v>427</v>
      </c>
      <c r="AP409" t="s">
        <v>428</v>
      </c>
      <c r="AQ409" t="s">
        <v>74</v>
      </c>
      <c r="AR409" t="s">
        <v>429</v>
      </c>
      <c r="AS409" t="s">
        <v>430</v>
      </c>
      <c r="AT409" t="s">
        <v>6788</v>
      </c>
      <c r="AU409">
        <v>2007</v>
      </c>
      <c r="AV409">
        <v>112</v>
      </c>
      <c r="AW409" t="s">
        <v>6726</v>
      </c>
      <c r="AX409" t="s">
        <v>74</v>
      </c>
      <c r="AY409" t="s">
        <v>74</v>
      </c>
      <c r="AZ409" t="s">
        <v>74</v>
      </c>
      <c r="BA409" t="s">
        <v>74</v>
      </c>
      <c r="BB409" t="s">
        <v>74</v>
      </c>
      <c r="BC409" t="s">
        <v>74</v>
      </c>
      <c r="BD409" t="s">
        <v>6804</v>
      </c>
      <c r="BE409" t="s">
        <v>6805</v>
      </c>
      <c r="BF409" t="str">
        <f>HYPERLINK("http://dx.doi.org/10.1029/2006JD007772","http://dx.doi.org/10.1029/2006JD007772")</f>
        <v>http://dx.doi.org/10.1029/2006JD007772</v>
      </c>
      <c r="BG409" t="s">
        <v>74</v>
      </c>
      <c r="BH409" t="s">
        <v>74</v>
      </c>
      <c r="BI409">
        <v>11</v>
      </c>
      <c r="BJ409" t="s">
        <v>435</v>
      </c>
      <c r="BK409" t="s">
        <v>98</v>
      </c>
      <c r="BL409" t="s">
        <v>435</v>
      </c>
      <c r="BM409" t="s">
        <v>6791</v>
      </c>
      <c r="BN409" t="s">
        <v>74</v>
      </c>
      <c r="BO409" t="s">
        <v>154</v>
      </c>
      <c r="BP409" t="s">
        <v>74</v>
      </c>
      <c r="BQ409" t="s">
        <v>74</v>
      </c>
      <c r="BR409" t="s">
        <v>101</v>
      </c>
      <c r="BS409" t="s">
        <v>6806</v>
      </c>
      <c r="BT409" t="str">
        <f>HYPERLINK("https%3A%2F%2Fwww.webofscience.com%2Fwos%2Fwoscc%2Ffull-record%2FWOS:000246494600005","View Full Record in Web of Science")</f>
        <v>View Full Record in Web of Science</v>
      </c>
    </row>
    <row r="410" spans="1:72" x14ac:dyDescent="0.15">
      <c r="A410" t="s">
        <v>72</v>
      </c>
      <c r="B410" t="s">
        <v>6807</v>
      </c>
      <c r="C410" t="s">
        <v>74</v>
      </c>
      <c r="D410" t="s">
        <v>74</v>
      </c>
      <c r="E410" t="s">
        <v>74</v>
      </c>
      <c r="F410" t="s">
        <v>6808</v>
      </c>
      <c r="G410" t="s">
        <v>74</v>
      </c>
      <c r="H410" t="s">
        <v>74</v>
      </c>
      <c r="I410" t="s">
        <v>6809</v>
      </c>
      <c r="J410" t="s">
        <v>203</v>
      </c>
      <c r="K410" t="s">
        <v>74</v>
      </c>
      <c r="L410" t="s">
        <v>74</v>
      </c>
      <c r="M410" t="s">
        <v>78</v>
      </c>
      <c r="N410" t="s">
        <v>248</v>
      </c>
      <c r="O410" t="s">
        <v>74</v>
      </c>
      <c r="P410" t="s">
        <v>74</v>
      </c>
      <c r="Q410" t="s">
        <v>74</v>
      </c>
      <c r="R410" t="s">
        <v>74</v>
      </c>
      <c r="S410" t="s">
        <v>74</v>
      </c>
      <c r="T410" t="s">
        <v>74</v>
      </c>
      <c r="U410" t="s">
        <v>6810</v>
      </c>
      <c r="V410" t="s">
        <v>6811</v>
      </c>
      <c r="W410" t="s">
        <v>6812</v>
      </c>
      <c r="X410" t="s">
        <v>6813</v>
      </c>
      <c r="Y410" t="s">
        <v>6814</v>
      </c>
      <c r="Z410" t="s">
        <v>6815</v>
      </c>
      <c r="AA410" t="s">
        <v>6816</v>
      </c>
      <c r="AB410" t="s">
        <v>6817</v>
      </c>
      <c r="AC410" t="s">
        <v>74</v>
      </c>
      <c r="AD410" t="s">
        <v>74</v>
      </c>
      <c r="AE410" t="s">
        <v>74</v>
      </c>
      <c r="AF410" t="s">
        <v>74</v>
      </c>
      <c r="AG410">
        <v>109</v>
      </c>
      <c r="AH410">
        <v>23</v>
      </c>
      <c r="AI410">
        <v>24</v>
      </c>
      <c r="AJ410">
        <v>0</v>
      </c>
      <c r="AK410">
        <v>4</v>
      </c>
      <c r="AL410" t="s">
        <v>141</v>
      </c>
      <c r="AM410" t="s">
        <v>142</v>
      </c>
      <c r="AN410" t="s">
        <v>143</v>
      </c>
      <c r="AO410" t="s">
        <v>213</v>
      </c>
      <c r="AP410" t="s">
        <v>214</v>
      </c>
      <c r="AQ410" t="s">
        <v>74</v>
      </c>
      <c r="AR410" t="s">
        <v>215</v>
      </c>
      <c r="AS410" t="s">
        <v>216</v>
      </c>
      <c r="AT410" t="s">
        <v>6818</v>
      </c>
      <c r="AU410">
        <v>2007</v>
      </c>
      <c r="AV410">
        <v>112</v>
      </c>
      <c r="AW410" t="s">
        <v>6392</v>
      </c>
      <c r="AX410" t="s">
        <v>74</v>
      </c>
      <c r="AY410" t="s">
        <v>74</v>
      </c>
      <c r="AZ410" t="s">
        <v>74</v>
      </c>
      <c r="BA410" t="s">
        <v>74</v>
      </c>
      <c r="BB410" t="s">
        <v>74</v>
      </c>
      <c r="BC410" t="s">
        <v>74</v>
      </c>
      <c r="BD410" t="s">
        <v>6819</v>
      </c>
      <c r="BE410" t="s">
        <v>6820</v>
      </c>
      <c r="BF410" t="str">
        <f>HYPERLINK("http://dx.doi.org/10.1029/2006JC003891","http://dx.doi.org/10.1029/2006JC003891")</f>
        <v>http://dx.doi.org/10.1029/2006JC003891</v>
      </c>
      <c r="BG410" t="s">
        <v>74</v>
      </c>
      <c r="BH410" t="s">
        <v>74</v>
      </c>
      <c r="BI410">
        <v>20</v>
      </c>
      <c r="BJ410" t="s">
        <v>221</v>
      </c>
      <c r="BK410" t="s">
        <v>98</v>
      </c>
      <c r="BL410" t="s">
        <v>221</v>
      </c>
      <c r="BM410" t="s">
        <v>6821</v>
      </c>
      <c r="BN410" t="s">
        <v>74</v>
      </c>
      <c r="BO410" t="s">
        <v>198</v>
      </c>
      <c r="BP410" t="s">
        <v>74</v>
      </c>
      <c r="BQ410" t="s">
        <v>74</v>
      </c>
      <c r="BR410" t="s">
        <v>101</v>
      </c>
      <c r="BS410" t="s">
        <v>6822</v>
      </c>
      <c r="BT410" t="str">
        <f>HYPERLINK("https%3A%2F%2Fwww.webofscience.com%2Fwos%2Fwoscc%2Ffull-record%2FWOS:000246307500003","View Full Record in Web of Science")</f>
        <v>View Full Record in Web of Science</v>
      </c>
    </row>
    <row r="411" spans="1:72" x14ac:dyDescent="0.15">
      <c r="A411" t="s">
        <v>72</v>
      </c>
      <c r="B411" t="s">
        <v>6823</v>
      </c>
      <c r="C411" t="s">
        <v>74</v>
      </c>
      <c r="D411" t="s">
        <v>74</v>
      </c>
      <c r="E411" t="s">
        <v>74</v>
      </c>
      <c r="F411" t="s">
        <v>6824</v>
      </c>
      <c r="G411" t="s">
        <v>74</v>
      </c>
      <c r="H411" t="s">
        <v>74</v>
      </c>
      <c r="I411" t="s">
        <v>6825</v>
      </c>
      <c r="J411" t="s">
        <v>309</v>
      </c>
      <c r="K411" t="s">
        <v>74</v>
      </c>
      <c r="L411" t="s">
        <v>74</v>
      </c>
      <c r="M411" t="s">
        <v>78</v>
      </c>
      <c r="N411" t="s">
        <v>79</v>
      </c>
      <c r="O411" t="s">
        <v>74</v>
      </c>
      <c r="P411" t="s">
        <v>74</v>
      </c>
      <c r="Q411" t="s">
        <v>74</v>
      </c>
      <c r="R411" t="s">
        <v>74</v>
      </c>
      <c r="S411" t="s">
        <v>74</v>
      </c>
      <c r="T411" t="s">
        <v>6826</v>
      </c>
      <c r="U411" t="s">
        <v>74</v>
      </c>
      <c r="V411" t="s">
        <v>74</v>
      </c>
      <c r="W411" t="s">
        <v>6827</v>
      </c>
      <c r="X411" t="s">
        <v>6828</v>
      </c>
      <c r="Y411" t="s">
        <v>6829</v>
      </c>
      <c r="Z411" t="s">
        <v>74</v>
      </c>
      <c r="AA411" t="s">
        <v>6830</v>
      </c>
      <c r="AB411" t="s">
        <v>6831</v>
      </c>
      <c r="AC411" t="s">
        <v>74</v>
      </c>
      <c r="AD411" t="s">
        <v>74</v>
      </c>
      <c r="AE411" t="s">
        <v>74</v>
      </c>
      <c r="AF411" t="s">
        <v>74</v>
      </c>
      <c r="AG411">
        <v>6</v>
      </c>
      <c r="AH411">
        <v>440</v>
      </c>
      <c r="AI411">
        <v>502</v>
      </c>
      <c r="AJ411">
        <v>0</v>
      </c>
      <c r="AK411">
        <v>123</v>
      </c>
      <c r="AL411" t="s">
        <v>318</v>
      </c>
      <c r="AM411" t="s">
        <v>142</v>
      </c>
      <c r="AN411" t="s">
        <v>319</v>
      </c>
      <c r="AO411" t="s">
        <v>320</v>
      </c>
      <c r="AP411" t="s">
        <v>628</v>
      </c>
      <c r="AQ411" t="s">
        <v>74</v>
      </c>
      <c r="AR411" t="s">
        <v>309</v>
      </c>
      <c r="AS411" t="s">
        <v>321</v>
      </c>
      <c r="AT411" t="s">
        <v>6818</v>
      </c>
      <c r="AU411">
        <v>2007</v>
      </c>
      <c r="AV411">
        <v>316</v>
      </c>
      <c r="AW411">
        <v>5825</v>
      </c>
      <c r="AX411" t="s">
        <v>74</v>
      </c>
      <c r="AY411" t="s">
        <v>74</v>
      </c>
      <c r="AZ411" t="s">
        <v>74</v>
      </c>
      <c r="BA411" t="s">
        <v>74</v>
      </c>
      <c r="BB411">
        <v>709</v>
      </c>
      <c r="BC411">
        <v>709</v>
      </c>
      <c r="BD411" t="s">
        <v>74</v>
      </c>
      <c r="BE411" t="s">
        <v>6832</v>
      </c>
      <c r="BF411" t="str">
        <f>HYPERLINK("http://dx.doi.org/10.1126/science.1136843","http://dx.doi.org/10.1126/science.1136843")</f>
        <v>http://dx.doi.org/10.1126/science.1136843</v>
      </c>
      <c r="BG411" t="s">
        <v>74</v>
      </c>
      <c r="BH411" t="s">
        <v>74</v>
      </c>
      <c r="BI411">
        <v>1</v>
      </c>
      <c r="BJ411" t="s">
        <v>241</v>
      </c>
      <c r="BK411" t="s">
        <v>98</v>
      </c>
      <c r="BL411" t="s">
        <v>242</v>
      </c>
      <c r="BM411" t="s">
        <v>6833</v>
      </c>
      <c r="BN411">
        <v>17272686</v>
      </c>
      <c r="BO411" t="s">
        <v>154</v>
      </c>
      <c r="BP411" t="s">
        <v>74</v>
      </c>
      <c r="BQ411" t="s">
        <v>74</v>
      </c>
      <c r="BR411" t="s">
        <v>101</v>
      </c>
      <c r="BS411" t="s">
        <v>6834</v>
      </c>
      <c r="BT411" t="str">
        <f>HYPERLINK("https%3A%2F%2Fwww.webofscience.com%2Fwos%2Fwoscc%2Ffull-record%2FWOS:000246181400035","View Full Record in Web of Science")</f>
        <v>View Full Record in Web of Science</v>
      </c>
    </row>
    <row r="412" spans="1:72" x14ac:dyDescent="0.15">
      <c r="A412" t="s">
        <v>72</v>
      </c>
      <c r="B412" t="s">
        <v>6835</v>
      </c>
      <c r="C412" t="s">
        <v>74</v>
      </c>
      <c r="D412" t="s">
        <v>74</v>
      </c>
      <c r="E412" t="s">
        <v>74</v>
      </c>
      <c r="F412" t="s">
        <v>6836</v>
      </c>
      <c r="G412" t="s">
        <v>74</v>
      </c>
      <c r="H412" t="s">
        <v>74</v>
      </c>
      <c r="I412" t="s">
        <v>6837</v>
      </c>
      <c r="J412" t="s">
        <v>351</v>
      </c>
      <c r="K412" t="s">
        <v>74</v>
      </c>
      <c r="L412" t="s">
        <v>74</v>
      </c>
      <c r="M412" t="s">
        <v>78</v>
      </c>
      <c r="N412" t="s">
        <v>229</v>
      </c>
      <c r="O412" t="s">
        <v>74</v>
      </c>
      <c r="P412" t="s">
        <v>74</v>
      </c>
      <c r="Q412" t="s">
        <v>74</v>
      </c>
      <c r="R412" t="s">
        <v>74</v>
      </c>
      <c r="S412" t="s">
        <v>74</v>
      </c>
      <c r="T412" t="s">
        <v>74</v>
      </c>
      <c r="U412" t="s">
        <v>74</v>
      </c>
      <c r="V412" t="s">
        <v>74</v>
      </c>
      <c r="W412" t="s">
        <v>74</v>
      </c>
      <c r="X412" t="s">
        <v>74</v>
      </c>
      <c r="Y412" t="s">
        <v>74</v>
      </c>
      <c r="Z412" t="s">
        <v>74</v>
      </c>
      <c r="AA412" t="s">
        <v>74</v>
      </c>
      <c r="AB412" t="s">
        <v>74</v>
      </c>
      <c r="AC412" t="s">
        <v>74</v>
      </c>
      <c r="AD412" t="s">
        <v>74</v>
      </c>
      <c r="AE412" t="s">
        <v>74</v>
      </c>
      <c r="AF412" t="s">
        <v>74</v>
      </c>
      <c r="AG412">
        <v>0</v>
      </c>
      <c r="AH412">
        <v>2</v>
      </c>
      <c r="AI412">
        <v>3</v>
      </c>
      <c r="AJ412">
        <v>0</v>
      </c>
      <c r="AK412">
        <v>0</v>
      </c>
      <c r="AL412" t="s">
        <v>362</v>
      </c>
      <c r="AM412" t="s">
        <v>363</v>
      </c>
      <c r="AN412" t="s">
        <v>364</v>
      </c>
      <c r="AO412" t="s">
        <v>365</v>
      </c>
      <c r="AP412" t="s">
        <v>74</v>
      </c>
      <c r="AQ412" t="s">
        <v>74</v>
      </c>
      <c r="AR412" t="s">
        <v>351</v>
      </c>
      <c r="AS412" t="s">
        <v>367</v>
      </c>
      <c r="AT412" t="s">
        <v>6838</v>
      </c>
      <c r="AU412">
        <v>2007</v>
      </c>
      <c r="AV412">
        <v>447</v>
      </c>
      <c r="AW412">
        <v>7140</v>
      </c>
      <c r="AX412" t="s">
        <v>74</v>
      </c>
      <c r="AY412" t="s">
        <v>74</v>
      </c>
      <c r="AZ412" t="s">
        <v>74</v>
      </c>
      <c r="BA412" t="s">
        <v>74</v>
      </c>
      <c r="BB412">
        <v>9</v>
      </c>
      <c r="BC412">
        <v>9</v>
      </c>
      <c r="BD412" t="s">
        <v>74</v>
      </c>
      <c r="BE412" t="s">
        <v>6839</v>
      </c>
      <c r="BF412" t="str">
        <f>HYPERLINK("http://dx.doi.org/10.1038/447009a","http://dx.doi.org/10.1038/447009a")</f>
        <v>http://dx.doi.org/10.1038/447009a</v>
      </c>
      <c r="BG412" t="s">
        <v>74</v>
      </c>
      <c r="BH412" t="s">
        <v>74</v>
      </c>
      <c r="BI412">
        <v>1</v>
      </c>
      <c r="BJ412" t="s">
        <v>241</v>
      </c>
      <c r="BK412" t="s">
        <v>98</v>
      </c>
      <c r="BL412" t="s">
        <v>242</v>
      </c>
      <c r="BM412" t="s">
        <v>6840</v>
      </c>
      <c r="BN412">
        <v>17476228</v>
      </c>
      <c r="BO412" t="s">
        <v>154</v>
      </c>
      <c r="BP412" t="s">
        <v>74</v>
      </c>
      <c r="BQ412" t="s">
        <v>74</v>
      </c>
      <c r="BR412" t="s">
        <v>101</v>
      </c>
      <c r="BS412" t="s">
        <v>6841</v>
      </c>
      <c r="BT412" t="str">
        <f>HYPERLINK("https%3A%2F%2Fwww.webofscience.com%2Fwos%2Fwoscc%2Ffull-record%2FWOS:000246149300008","View Full Record in Web of Science")</f>
        <v>View Full Record in Web of Science</v>
      </c>
    </row>
    <row r="413" spans="1:72" x14ac:dyDescent="0.15">
      <c r="A413" t="s">
        <v>72</v>
      </c>
      <c r="B413" t="s">
        <v>6842</v>
      </c>
      <c r="C413" t="s">
        <v>74</v>
      </c>
      <c r="D413" t="s">
        <v>74</v>
      </c>
      <c r="E413" t="s">
        <v>74</v>
      </c>
      <c r="F413" t="s">
        <v>6843</v>
      </c>
      <c r="G413" t="s">
        <v>74</v>
      </c>
      <c r="H413" t="s">
        <v>74</v>
      </c>
      <c r="I413" t="s">
        <v>6844</v>
      </c>
      <c r="J413" t="s">
        <v>6845</v>
      </c>
      <c r="K413" t="s">
        <v>74</v>
      </c>
      <c r="L413" t="s">
        <v>74</v>
      </c>
      <c r="M413" t="s">
        <v>78</v>
      </c>
      <c r="N413" t="s">
        <v>79</v>
      </c>
      <c r="O413" t="s">
        <v>74</v>
      </c>
      <c r="P413" t="s">
        <v>74</v>
      </c>
      <c r="Q413" t="s">
        <v>74</v>
      </c>
      <c r="R413" t="s">
        <v>74</v>
      </c>
      <c r="S413" t="s">
        <v>74</v>
      </c>
      <c r="T413" t="s">
        <v>6846</v>
      </c>
      <c r="U413" t="s">
        <v>74</v>
      </c>
      <c r="V413" t="s">
        <v>6847</v>
      </c>
      <c r="W413" t="s">
        <v>6848</v>
      </c>
      <c r="X413" t="s">
        <v>6849</v>
      </c>
      <c r="Y413" t="s">
        <v>6850</v>
      </c>
      <c r="Z413" t="s">
        <v>74</v>
      </c>
      <c r="AA413" t="s">
        <v>74</v>
      </c>
      <c r="AB413" t="s">
        <v>74</v>
      </c>
      <c r="AC413" t="s">
        <v>74</v>
      </c>
      <c r="AD413" t="s">
        <v>74</v>
      </c>
      <c r="AE413" t="s">
        <v>74</v>
      </c>
      <c r="AF413" t="s">
        <v>74</v>
      </c>
      <c r="AG413">
        <v>9</v>
      </c>
      <c r="AH413">
        <v>6</v>
      </c>
      <c r="AI413">
        <v>18</v>
      </c>
      <c r="AJ413">
        <v>0</v>
      </c>
      <c r="AK413">
        <v>1</v>
      </c>
      <c r="AL413" t="s">
        <v>6851</v>
      </c>
      <c r="AM413" t="s">
        <v>6852</v>
      </c>
      <c r="AN413" t="s">
        <v>6853</v>
      </c>
      <c r="AO413" t="s">
        <v>6854</v>
      </c>
      <c r="AP413" t="s">
        <v>6855</v>
      </c>
      <c r="AQ413" t="s">
        <v>74</v>
      </c>
      <c r="AR413" t="s">
        <v>6856</v>
      </c>
      <c r="AS413" t="s">
        <v>6857</v>
      </c>
      <c r="AT413" t="s">
        <v>6858</v>
      </c>
      <c r="AU413">
        <v>2007</v>
      </c>
      <c r="AV413">
        <v>9</v>
      </c>
      <c r="AW413">
        <v>2</v>
      </c>
      <c r="AX413" t="s">
        <v>74</v>
      </c>
      <c r="AY413" t="s">
        <v>74</v>
      </c>
      <c r="AZ413" t="s">
        <v>74</v>
      </c>
      <c r="BA413" t="s">
        <v>74</v>
      </c>
      <c r="BB413">
        <v>183</v>
      </c>
      <c r="BC413">
        <v>198</v>
      </c>
      <c r="BD413" t="s">
        <v>74</v>
      </c>
      <c r="BE413" t="s">
        <v>6859</v>
      </c>
      <c r="BF413" t="str">
        <f>HYPERLINK("http://dx.doi.org/10.1177/1523422306298858","http://dx.doi.org/10.1177/1523422306298858")</f>
        <v>http://dx.doi.org/10.1177/1523422306298858</v>
      </c>
      <c r="BG413" t="s">
        <v>74</v>
      </c>
      <c r="BH413" t="s">
        <v>74</v>
      </c>
      <c r="BI413">
        <v>16</v>
      </c>
      <c r="BJ413" t="s">
        <v>6860</v>
      </c>
      <c r="BK413" t="s">
        <v>4083</v>
      </c>
      <c r="BL413" t="s">
        <v>6861</v>
      </c>
      <c r="BM413" t="s">
        <v>6862</v>
      </c>
      <c r="BN413" t="s">
        <v>74</v>
      </c>
      <c r="BO413" t="s">
        <v>74</v>
      </c>
      <c r="BP413" t="s">
        <v>74</v>
      </c>
      <c r="BQ413" t="s">
        <v>74</v>
      </c>
      <c r="BR413" t="s">
        <v>101</v>
      </c>
      <c r="BS413" t="s">
        <v>6863</v>
      </c>
      <c r="BT413" t="str">
        <f>HYPERLINK("https%3A%2F%2Fwww.webofscience.com%2Fwos%2Fwoscc%2Ffull-record%2FWOS:000212999100004","View Full Record in Web of Science")</f>
        <v>View Full Record in Web of Science</v>
      </c>
    </row>
    <row r="414" spans="1:72" x14ac:dyDescent="0.15">
      <c r="A414" t="s">
        <v>72</v>
      </c>
      <c r="B414" t="s">
        <v>6864</v>
      </c>
      <c r="C414" t="s">
        <v>74</v>
      </c>
      <c r="D414" t="s">
        <v>74</v>
      </c>
      <c r="E414" t="s">
        <v>74</v>
      </c>
      <c r="F414" t="s">
        <v>6865</v>
      </c>
      <c r="G414" t="s">
        <v>74</v>
      </c>
      <c r="H414" t="s">
        <v>74</v>
      </c>
      <c r="I414" t="s">
        <v>6866</v>
      </c>
      <c r="J414" t="s">
        <v>4825</v>
      </c>
      <c r="K414" t="s">
        <v>74</v>
      </c>
      <c r="L414" t="s">
        <v>74</v>
      </c>
      <c r="M414" t="s">
        <v>78</v>
      </c>
      <c r="N414" t="s">
        <v>79</v>
      </c>
      <c r="O414" t="s">
        <v>74</v>
      </c>
      <c r="P414" t="s">
        <v>74</v>
      </c>
      <c r="Q414" t="s">
        <v>74</v>
      </c>
      <c r="R414" t="s">
        <v>74</v>
      </c>
      <c r="S414" t="s">
        <v>74</v>
      </c>
      <c r="T414" t="s">
        <v>6867</v>
      </c>
      <c r="U414" t="s">
        <v>6868</v>
      </c>
      <c r="V414" t="s">
        <v>6869</v>
      </c>
      <c r="W414" t="s">
        <v>6870</v>
      </c>
      <c r="X414" t="s">
        <v>6871</v>
      </c>
      <c r="Y414" t="s">
        <v>6872</v>
      </c>
      <c r="Z414" t="s">
        <v>6873</v>
      </c>
      <c r="AA414" t="s">
        <v>6874</v>
      </c>
      <c r="AB414" t="s">
        <v>6875</v>
      </c>
      <c r="AC414" t="s">
        <v>6876</v>
      </c>
      <c r="AD414" t="s">
        <v>6877</v>
      </c>
      <c r="AE414" t="s">
        <v>74</v>
      </c>
      <c r="AF414" t="s">
        <v>74</v>
      </c>
      <c r="AG414">
        <v>49</v>
      </c>
      <c r="AH414">
        <v>29</v>
      </c>
      <c r="AI414">
        <v>31</v>
      </c>
      <c r="AJ414">
        <v>1</v>
      </c>
      <c r="AK414">
        <v>13</v>
      </c>
      <c r="AL414" t="s">
        <v>4832</v>
      </c>
      <c r="AM414" t="s">
        <v>4833</v>
      </c>
      <c r="AN414" t="s">
        <v>4834</v>
      </c>
      <c r="AO414" t="s">
        <v>4835</v>
      </c>
      <c r="AP414" t="s">
        <v>74</v>
      </c>
      <c r="AQ414" t="s">
        <v>74</v>
      </c>
      <c r="AR414" t="s">
        <v>4837</v>
      </c>
      <c r="AS414" t="s">
        <v>4838</v>
      </c>
      <c r="AT414" t="s">
        <v>6858</v>
      </c>
      <c r="AU414">
        <v>2007</v>
      </c>
      <c r="AV414">
        <v>292</v>
      </c>
      <c r="AW414">
        <v>5</v>
      </c>
      <c r="AX414" t="s">
        <v>74</v>
      </c>
      <c r="AY414" t="s">
        <v>74</v>
      </c>
      <c r="AZ414" t="s">
        <v>74</v>
      </c>
      <c r="BA414" t="s">
        <v>74</v>
      </c>
      <c r="BB414" t="s">
        <v>6878</v>
      </c>
      <c r="BC414" t="s">
        <v>6879</v>
      </c>
      <c r="BD414" t="s">
        <v>74</v>
      </c>
      <c r="BE414" t="s">
        <v>6880</v>
      </c>
      <c r="BF414" t="str">
        <f>HYPERLINK("http://dx.doi.org/10.1152/ajpregu.00467.2006","http://dx.doi.org/10.1152/ajpregu.00467.2006")</f>
        <v>http://dx.doi.org/10.1152/ajpregu.00467.2006</v>
      </c>
      <c r="BG414" t="s">
        <v>74</v>
      </c>
      <c r="BH414" t="s">
        <v>74</v>
      </c>
      <c r="BI414">
        <v>12</v>
      </c>
      <c r="BJ414" t="s">
        <v>4843</v>
      </c>
      <c r="BK414" t="s">
        <v>98</v>
      </c>
      <c r="BL414" t="s">
        <v>4843</v>
      </c>
      <c r="BM414" t="s">
        <v>6881</v>
      </c>
      <c r="BN414">
        <v>17255214</v>
      </c>
      <c r="BO414" t="s">
        <v>74</v>
      </c>
      <c r="BP414" t="s">
        <v>74</v>
      </c>
      <c r="BQ414" t="s">
        <v>74</v>
      </c>
      <c r="BR414" t="s">
        <v>101</v>
      </c>
      <c r="BS414" t="s">
        <v>6882</v>
      </c>
      <c r="BT414" t="str">
        <f>HYPERLINK("https%3A%2F%2Fwww.webofscience.com%2Fwos%2Fwoscc%2Ffull-record%2FWOS:000247725200038","View Full Record in Web of Science")</f>
        <v>View Full Record in Web of Science</v>
      </c>
    </row>
    <row r="415" spans="1:72" x14ac:dyDescent="0.15">
      <c r="A415" t="s">
        <v>72</v>
      </c>
      <c r="B415" t="s">
        <v>6883</v>
      </c>
      <c r="C415" t="s">
        <v>74</v>
      </c>
      <c r="D415" t="s">
        <v>74</v>
      </c>
      <c r="E415" t="s">
        <v>74</v>
      </c>
      <c r="F415" t="s">
        <v>6884</v>
      </c>
      <c r="G415" t="s">
        <v>74</v>
      </c>
      <c r="H415" t="s">
        <v>74</v>
      </c>
      <c r="I415" t="s">
        <v>6885</v>
      </c>
      <c r="J415" t="s">
        <v>6886</v>
      </c>
      <c r="K415" t="s">
        <v>74</v>
      </c>
      <c r="L415" t="s">
        <v>74</v>
      </c>
      <c r="M415" t="s">
        <v>78</v>
      </c>
      <c r="N415" t="s">
        <v>6887</v>
      </c>
      <c r="O415" t="s">
        <v>74</v>
      </c>
      <c r="P415" t="s">
        <v>74</v>
      </c>
      <c r="Q415" t="s">
        <v>74</v>
      </c>
      <c r="R415" t="s">
        <v>74</v>
      </c>
      <c r="S415" t="s">
        <v>74</v>
      </c>
      <c r="T415" t="s">
        <v>74</v>
      </c>
      <c r="U415" t="s">
        <v>74</v>
      </c>
      <c r="V415" t="s">
        <v>74</v>
      </c>
      <c r="W415" t="s">
        <v>74</v>
      </c>
      <c r="X415" t="s">
        <v>74</v>
      </c>
      <c r="Y415" t="s">
        <v>74</v>
      </c>
      <c r="Z415" t="s">
        <v>74</v>
      </c>
      <c r="AA415" t="s">
        <v>74</v>
      </c>
      <c r="AB415" t="s">
        <v>74</v>
      </c>
      <c r="AC415" t="s">
        <v>74</v>
      </c>
      <c r="AD415" t="s">
        <v>74</v>
      </c>
      <c r="AE415" t="s">
        <v>74</v>
      </c>
      <c r="AF415" t="s">
        <v>74</v>
      </c>
      <c r="AG415">
        <v>0</v>
      </c>
      <c r="AH415">
        <v>0</v>
      </c>
      <c r="AI415">
        <v>0</v>
      </c>
      <c r="AJ415">
        <v>0</v>
      </c>
      <c r="AK415">
        <v>0</v>
      </c>
      <c r="AL415" t="s">
        <v>6888</v>
      </c>
      <c r="AM415" t="s">
        <v>6889</v>
      </c>
      <c r="AN415" t="s">
        <v>6890</v>
      </c>
      <c r="AO415" t="s">
        <v>6891</v>
      </c>
      <c r="AP415" t="s">
        <v>6892</v>
      </c>
      <c r="AQ415" t="s">
        <v>74</v>
      </c>
      <c r="AR415" t="s">
        <v>6893</v>
      </c>
      <c r="AS415" t="s">
        <v>6894</v>
      </c>
      <c r="AT415" t="s">
        <v>6895</v>
      </c>
      <c r="AU415">
        <v>2007</v>
      </c>
      <c r="AV415">
        <v>36</v>
      </c>
      <c r="AW415">
        <v>3</v>
      </c>
      <c r="AX415" t="s">
        <v>74</v>
      </c>
      <c r="AY415" t="s">
        <v>74</v>
      </c>
      <c r="AZ415" t="s">
        <v>74</v>
      </c>
      <c r="BA415" t="s">
        <v>74</v>
      </c>
      <c r="BB415">
        <v>12</v>
      </c>
      <c r="BC415">
        <v>12</v>
      </c>
      <c r="BD415" t="s">
        <v>74</v>
      </c>
      <c r="BE415" t="s">
        <v>74</v>
      </c>
      <c r="BF415" t="s">
        <v>74</v>
      </c>
      <c r="BG415" t="s">
        <v>74</v>
      </c>
      <c r="BH415" t="s">
        <v>74</v>
      </c>
      <c r="BI415">
        <v>1</v>
      </c>
      <c r="BJ415" t="s">
        <v>6887</v>
      </c>
      <c r="BK415" t="s">
        <v>6896</v>
      </c>
      <c r="BL415" t="s">
        <v>6897</v>
      </c>
      <c r="BM415" t="s">
        <v>6898</v>
      </c>
      <c r="BN415" t="s">
        <v>74</v>
      </c>
      <c r="BO415" t="s">
        <v>74</v>
      </c>
      <c r="BP415" t="s">
        <v>74</v>
      </c>
      <c r="BQ415" t="s">
        <v>74</v>
      </c>
      <c r="BR415" t="s">
        <v>101</v>
      </c>
      <c r="BS415" t="s">
        <v>6899</v>
      </c>
      <c r="BT415" t="str">
        <f>HYPERLINK("https%3A%2F%2Fwww.webofscience.com%2Fwos%2Fwoscc%2Ffull-record%2FWOS:000245936200026","View Full Record in Web of Science")</f>
        <v>View Full Record in Web of Science</v>
      </c>
    </row>
    <row r="416" spans="1:72" x14ac:dyDescent="0.15">
      <c r="A416" t="s">
        <v>72</v>
      </c>
      <c r="B416" t="s">
        <v>6900</v>
      </c>
      <c r="C416" t="s">
        <v>74</v>
      </c>
      <c r="D416" t="s">
        <v>74</v>
      </c>
      <c r="E416" t="s">
        <v>74</v>
      </c>
      <c r="F416" t="s">
        <v>6901</v>
      </c>
      <c r="G416" t="s">
        <v>74</v>
      </c>
      <c r="H416" t="s">
        <v>74</v>
      </c>
      <c r="I416" t="s">
        <v>6902</v>
      </c>
      <c r="J416" t="s">
        <v>6903</v>
      </c>
      <c r="K416" t="s">
        <v>74</v>
      </c>
      <c r="L416" t="s">
        <v>74</v>
      </c>
      <c r="M416" t="s">
        <v>78</v>
      </c>
      <c r="N416" t="s">
        <v>79</v>
      </c>
      <c r="O416" t="s">
        <v>74</v>
      </c>
      <c r="P416" t="s">
        <v>74</v>
      </c>
      <c r="Q416" t="s">
        <v>74</v>
      </c>
      <c r="R416" t="s">
        <v>74</v>
      </c>
      <c r="S416" t="s">
        <v>74</v>
      </c>
      <c r="T416" t="s">
        <v>74</v>
      </c>
      <c r="U416" t="s">
        <v>6904</v>
      </c>
      <c r="V416" t="s">
        <v>6905</v>
      </c>
      <c r="W416" t="s">
        <v>6906</v>
      </c>
      <c r="X416" t="s">
        <v>6907</v>
      </c>
      <c r="Y416" t="s">
        <v>6908</v>
      </c>
      <c r="Z416" t="s">
        <v>6909</v>
      </c>
      <c r="AA416" t="s">
        <v>74</v>
      </c>
      <c r="AB416" t="s">
        <v>74</v>
      </c>
      <c r="AC416" t="s">
        <v>74</v>
      </c>
      <c r="AD416" t="s">
        <v>74</v>
      </c>
      <c r="AE416" t="s">
        <v>74</v>
      </c>
      <c r="AF416" t="s">
        <v>74</v>
      </c>
      <c r="AG416">
        <v>32</v>
      </c>
      <c r="AH416">
        <v>22</v>
      </c>
      <c r="AI416">
        <v>24</v>
      </c>
      <c r="AJ416">
        <v>1</v>
      </c>
      <c r="AK416">
        <v>16</v>
      </c>
      <c r="AL416" t="s">
        <v>1503</v>
      </c>
      <c r="AM416" t="s">
        <v>1504</v>
      </c>
      <c r="AN416" t="s">
        <v>1505</v>
      </c>
      <c r="AO416" t="s">
        <v>6910</v>
      </c>
      <c r="AP416" t="s">
        <v>74</v>
      </c>
      <c r="AQ416" t="s">
        <v>74</v>
      </c>
      <c r="AR416" t="s">
        <v>6911</v>
      </c>
      <c r="AS416" t="s">
        <v>6912</v>
      </c>
      <c r="AT416" t="s">
        <v>6858</v>
      </c>
      <c r="AU416">
        <v>2007</v>
      </c>
      <c r="AV416">
        <v>22</v>
      </c>
      <c r="AW416">
        <v>5</v>
      </c>
      <c r="AX416" t="s">
        <v>74</v>
      </c>
      <c r="AY416" t="s">
        <v>74</v>
      </c>
      <c r="AZ416" t="s">
        <v>74</v>
      </c>
      <c r="BA416" t="s">
        <v>74</v>
      </c>
      <c r="BB416">
        <v>888</v>
      </c>
      <c r="BC416">
        <v>905</v>
      </c>
      <c r="BD416" t="s">
        <v>74</v>
      </c>
      <c r="BE416" t="s">
        <v>6913</v>
      </c>
      <c r="BF416" t="str">
        <f>HYPERLINK("http://dx.doi.org/10.1016/j.apgeochem.2006.12.018","http://dx.doi.org/10.1016/j.apgeochem.2006.12.018")</f>
        <v>http://dx.doi.org/10.1016/j.apgeochem.2006.12.018</v>
      </c>
      <c r="BG416" t="s">
        <v>74</v>
      </c>
      <c r="BH416" t="s">
        <v>74</v>
      </c>
      <c r="BI416">
        <v>18</v>
      </c>
      <c r="BJ416" t="s">
        <v>688</v>
      </c>
      <c r="BK416" t="s">
        <v>98</v>
      </c>
      <c r="BL416" t="s">
        <v>688</v>
      </c>
      <c r="BM416" t="s">
        <v>6914</v>
      </c>
      <c r="BN416" t="s">
        <v>74</v>
      </c>
      <c r="BO416" t="s">
        <v>74</v>
      </c>
      <c r="BP416" t="s">
        <v>74</v>
      </c>
      <c r="BQ416" t="s">
        <v>74</v>
      </c>
      <c r="BR416" t="s">
        <v>101</v>
      </c>
      <c r="BS416" t="s">
        <v>6915</v>
      </c>
      <c r="BT416" t="str">
        <f>HYPERLINK("https%3A%2F%2Fwww.webofscience.com%2Fwos%2Fwoscc%2Ffull-record%2FWOS:000247460600002","View Full Record in Web of Science")</f>
        <v>View Full Record in Web of Science</v>
      </c>
    </row>
    <row r="417" spans="1:72" x14ac:dyDescent="0.15">
      <c r="A417" t="s">
        <v>72</v>
      </c>
      <c r="B417" t="s">
        <v>6916</v>
      </c>
      <c r="C417" t="s">
        <v>74</v>
      </c>
      <c r="D417" t="s">
        <v>74</v>
      </c>
      <c r="E417" t="s">
        <v>74</v>
      </c>
      <c r="F417" t="s">
        <v>6917</v>
      </c>
      <c r="G417" t="s">
        <v>74</v>
      </c>
      <c r="H417" t="s">
        <v>74</v>
      </c>
      <c r="I417" t="s">
        <v>6918</v>
      </c>
      <c r="J417" t="s">
        <v>1217</v>
      </c>
      <c r="K417" t="s">
        <v>74</v>
      </c>
      <c r="L417" t="s">
        <v>74</v>
      </c>
      <c r="M417" t="s">
        <v>78</v>
      </c>
      <c r="N417" t="s">
        <v>79</v>
      </c>
      <c r="O417" t="s">
        <v>74</v>
      </c>
      <c r="P417" t="s">
        <v>74</v>
      </c>
      <c r="Q417" t="s">
        <v>74</v>
      </c>
      <c r="R417" t="s">
        <v>74</v>
      </c>
      <c r="S417" t="s">
        <v>74</v>
      </c>
      <c r="T417" t="s">
        <v>74</v>
      </c>
      <c r="U417" t="s">
        <v>6919</v>
      </c>
      <c r="V417" t="s">
        <v>6920</v>
      </c>
      <c r="W417" t="s">
        <v>6921</v>
      </c>
      <c r="X417" t="s">
        <v>6922</v>
      </c>
      <c r="Y417" t="s">
        <v>6923</v>
      </c>
      <c r="Z417" t="s">
        <v>6924</v>
      </c>
      <c r="AA417" t="s">
        <v>6925</v>
      </c>
      <c r="AB417" t="s">
        <v>6926</v>
      </c>
      <c r="AC417" t="s">
        <v>74</v>
      </c>
      <c r="AD417" t="s">
        <v>74</v>
      </c>
      <c r="AE417" t="s">
        <v>74</v>
      </c>
      <c r="AF417" t="s">
        <v>74</v>
      </c>
      <c r="AG417">
        <v>60</v>
      </c>
      <c r="AH417">
        <v>21</v>
      </c>
      <c r="AI417">
        <v>29</v>
      </c>
      <c r="AJ417">
        <v>0</v>
      </c>
      <c r="AK417">
        <v>47</v>
      </c>
      <c r="AL417" t="s">
        <v>1225</v>
      </c>
      <c r="AM417" t="s">
        <v>1226</v>
      </c>
      <c r="AN417" t="s">
        <v>1227</v>
      </c>
      <c r="AO417" t="s">
        <v>1228</v>
      </c>
      <c r="AP417" t="s">
        <v>1229</v>
      </c>
      <c r="AQ417" t="s">
        <v>74</v>
      </c>
      <c r="AR417" t="s">
        <v>1230</v>
      </c>
      <c r="AS417" t="s">
        <v>1231</v>
      </c>
      <c r="AT417" t="s">
        <v>6858</v>
      </c>
      <c r="AU417">
        <v>2007</v>
      </c>
      <c r="AV417">
        <v>39</v>
      </c>
      <c r="AW417">
        <v>2</v>
      </c>
      <c r="AX417" t="s">
        <v>74</v>
      </c>
      <c r="AY417" t="s">
        <v>74</v>
      </c>
      <c r="AZ417" t="s">
        <v>74</v>
      </c>
      <c r="BA417" t="s">
        <v>74</v>
      </c>
      <c r="BB417">
        <v>189</v>
      </c>
      <c r="BC417">
        <v>199</v>
      </c>
      <c r="BD417" t="s">
        <v>74</v>
      </c>
      <c r="BE417" t="s">
        <v>6927</v>
      </c>
      <c r="BF417" t="str">
        <f>HYPERLINK("http://dx.doi.org/10.1657/1523-0430(2007)39[189:SACOCA]2.0.CO;2","http://dx.doi.org/10.1657/1523-0430(2007)39[189:SACOCA]2.0.CO;2")</f>
        <v>http://dx.doi.org/10.1657/1523-0430(2007)39[189:SACOCA]2.0.CO;2</v>
      </c>
      <c r="BG417" t="s">
        <v>74</v>
      </c>
      <c r="BH417" t="s">
        <v>74</v>
      </c>
      <c r="BI417">
        <v>11</v>
      </c>
      <c r="BJ417" t="s">
        <v>1233</v>
      </c>
      <c r="BK417" t="s">
        <v>98</v>
      </c>
      <c r="BL417" t="s">
        <v>1234</v>
      </c>
      <c r="BM417" t="s">
        <v>6928</v>
      </c>
      <c r="BN417" t="s">
        <v>74</v>
      </c>
      <c r="BO417" t="s">
        <v>1289</v>
      </c>
      <c r="BP417" t="s">
        <v>74</v>
      </c>
      <c r="BQ417" t="s">
        <v>74</v>
      </c>
      <c r="BR417" t="s">
        <v>101</v>
      </c>
      <c r="BS417" t="s">
        <v>6929</v>
      </c>
      <c r="BT417" t="str">
        <f>HYPERLINK("https%3A%2F%2Fwww.webofscience.com%2Fwos%2Fwoscc%2Ffull-record%2FWOS:000246649100001","View Full Record in Web of Science")</f>
        <v>View Full Record in Web of Science</v>
      </c>
    </row>
    <row r="418" spans="1:72" x14ac:dyDescent="0.15">
      <c r="A418" t="s">
        <v>72</v>
      </c>
      <c r="B418" t="s">
        <v>6930</v>
      </c>
      <c r="C418" t="s">
        <v>74</v>
      </c>
      <c r="D418" t="s">
        <v>74</v>
      </c>
      <c r="E418" t="s">
        <v>74</v>
      </c>
      <c r="F418" t="s">
        <v>6931</v>
      </c>
      <c r="G418" t="s">
        <v>74</v>
      </c>
      <c r="H418" t="s">
        <v>74</v>
      </c>
      <c r="I418" t="s">
        <v>6932</v>
      </c>
      <c r="J418" t="s">
        <v>1217</v>
      </c>
      <c r="K418" t="s">
        <v>74</v>
      </c>
      <c r="L418" t="s">
        <v>74</v>
      </c>
      <c r="M418" t="s">
        <v>78</v>
      </c>
      <c r="N418" t="s">
        <v>79</v>
      </c>
      <c r="O418" t="s">
        <v>74</v>
      </c>
      <c r="P418" t="s">
        <v>74</v>
      </c>
      <c r="Q418" t="s">
        <v>74</v>
      </c>
      <c r="R418" t="s">
        <v>74</v>
      </c>
      <c r="S418" t="s">
        <v>74</v>
      </c>
      <c r="T418" t="s">
        <v>74</v>
      </c>
      <c r="U418" t="s">
        <v>6933</v>
      </c>
      <c r="V418" t="s">
        <v>6934</v>
      </c>
      <c r="W418" t="s">
        <v>6935</v>
      </c>
      <c r="X418" t="s">
        <v>6936</v>
      </c>
      <c r="Y418" t="s">
        <v>6937</v>
      </c>
      <c r="Z418" t="s">
        <v>6938</v>
      </c>
      <c r="AA418" t="s">
        <v>6939</v>
      </c>
      <c r="AB418" t="s">
        <v>74</v>
      </c>
      <c r="AC418" t="s">
        <v>74</v>
      </c>
      <c r="AD418" t="s">
        <v>74</v>
      </c>
      <c r="AE418" t="s">
        <v>74</v>
      </c>
      <c r="AF418" t="s">
        <v>74</v>
      </c>
      <c r="AG418">
        <v>53</v>
      </c>
      <c r="AH418">
        <v>150</v>
      </c>
      <c r="AI418">
        <v>176</v>
      </c>
      <c r="AJ418">
        <v>4</v>
      </c>
      <c r="AK418">
        <v>78</v>
      </c>
      <c r="AL418" t="s">
        <v>1225</v>
      </c>
      <c r="AM418" t="s">
        <v>1226</v>
      </c>
      <c r="AN418" t="s">
        <v>1227</v>
      </c>
      <c r="AO418" t="s">
        <v>1228</v>
      </c>
      <c r="AP418" t="s">
        <v>1229</v>
      </c>
      <c r="AQ418" t="s">
        <v>74</v>
      </c>
      <c r="AR418" t="s">
        <v>1230</v>
      </c>
      <c r="AS418" t="s">
        <v>1231</v>
      </c>
      <c r="AT418" t="s">
        <v>6858</v>
      </c>
      <c r="AU418">
        <v>2007</v>
      </c>
      <c r="AV418">
        <v>39</v>
      </c>
      <c r="AW418">
        <v>2</v>
      </c>
      <c r="AX418" t="s">
        <v>74</v>
      </c>
      <c r="AY418" t="s">
        <v>74</v>
      </c>
      <c r="AZ418" t="s">
        <v>74</v>
      </c>
      <c r="BA418" t="s">
        <v>74</v>
      </c>
      <c r="BB418">
        <v>200</v>
      </c>
      <c r="BC418">
        <v>209</v>
      </c>
      <c r="BD418" t="s">
        <v>74</v>
      </c>
      <c r="BE418" t="s">
        <v>6940</v>
      </c>
      <c r="BF418" t="str">
        <f>HYPERLINK("http://dx.doi.org/10.1657/1523-0430(2007)39[200:ATARGI]2.0.CO;2","http://dx.doi.org/10.1657/1523-0430(2007)39[200:ATARGI]2.0.CO;2")</f>
        <v>http://dx.doi.org/10.1657/1523-0430(2007)39[200:ATARGI]2.0.CO;2</v>
      </c>
      <c r="BG418" t="s">
        <v>74</v>
      </c>
      <c r="BH418" t="s">
        <v>74</v>
      </c>
      <c r="BI418">
        <v>10</v>
      </c>
      <c r="BJ418" t="s">
        <v>1233</v>
      </c>
      <c r="BK418" t="s">
        <v>98</v>
      </c>
      <c r="BL418" t="s">
        <v>1234</v>
      </c>
      <c r="BM418" t="s">
        <v>6928</v>
      </c>
      <c r="BN418" t="s">
        <v>74</v>
      </c>
      <c r="BO418" t="s">
        <v>1289</v>
      </c>
      <c r="BP418" t="s">
        <v>74</v>
      </c>
      <c r="BQ418" t="s">
        <v>74</v>
      </c>
      <c r="BR418" t="s">
        <v>101</v>
      </c>
      <c r="BS418" t="s">
        <v>6941</v>
      </c>
      <c r="BT418" t="str">
        <f>HYPERLINK("https%3A%2F%2Fwww.webofscience.com%2Fwos%2Fwoscc%2Ffull-record%2FWOS:000246649100002","View Full Record in Web of Science")</f>
        <v>View Full Record in Web of Science</v>
      </c>
    </row>
    <row r="419" spans="1:72" x14ac:dyDescent="0.15">
      <c r="A419" t="s">
        <v>72</v>
      </c>
      <c r="B419" t="s">
        <v>6942</v>
      </c>
      <c r="C419" t="s">
        <v>74</v>
      </c>
      <c r="D419" t="s">
        <v>74</v>
      </c>
      <c r="E419" t="s">
        <v>74</v>
      </c>
      <c r="F419" t="s">
        <v>6943</v>
      </c>
      <c r="G419" t="s">
        <v>74</v>
      </c>
      <c r="H419" t="s">
        <v>74</v>
      </c>
      <c r="I419" t="s">
        <v>6944</v>
      </c>
      <c r="J419" t="s">
        <v>1217</v>
      </c>
      <c r="K419" t="s">
        <v>74</v>
      </c>
      <c r="L419" t="s">
        <v>74</v>
      </c>
      <c r="M419" t="s">
        <v>78</v>
      </c>
      <c r="N419" t="s">
        <v>79</v>
      </c>
      <c r="O419" t="s">
        <v>74</v>
      </c>
      <c r="P419" t="s">
        <v>74</v>
      </c>
      <c r="Q419" t="s">
        <v>74</v>
      </c>
      <c r="R419" t="s">
        <v>74</v>
      </c>
      <c r="S419" t="s">
        <v>74</v>
      </c>
      <c r="T419" t="s">
        <v>74</v>
      </c>
      <c r="U419" t="s">
        <v>6945</v>
      </c>
      <c r="V419" t="s">
        <v>6946</v>
      </c>
      <c r="W419" t="s">
        <v>6947</v>
      </c>
      <c r="X419" t="s">
        <v>6948</v>
      </c>
      <c r="Y419" t="s">
        <v>6949</v>
      </c>
      <c r="Z419" t="s">
        <v>6950</v>
      </c>
      <c r="AA419" t="s">
        <v>6951</v>
      </c>
      <c r="AB419" t="s">
        <v>6952</v>
      </c>
      <c r="AC419" t="s">
        <v>74</v>
      </c>
      <c r="AD419" t="s">
        <v>74</v>
      </c>
      <c r="AE419" t="s">
        <v>74</v>
      </c>
      <c r="AF419" t="s">
        <v>74</v>
      </c>
      <c r="AG419">
        <v>48</v>
      </c>
      <c r="AH419">
        <v>47</v>
      </c>
      <c r="AI419">
        <v>49</v>
      </c>
      <c r="AJ419">
        <v>0</v>
      </c>
      <c r="AK419">
        <v>25</v>
      </c>
      <c r="AL419" t="s">
        <v>1262</v>
      </c>
      <c r="AM419" t="s">
        <v>1263</v>
      </c>
      <c r="AN419" t="s">
        <v>1264</v>
      </c>
      <c r="AO419" t="s">
        <v>1228</v>
      </c>
      <c r="AP419" t="s">
        <v>74</v>
      </c>
      <c r="AQ419" t="s">
        <v>74</v>
      </c>
      <c r="AR419" t="s">
        <v>1230</v>
      </c>
      <c r="AS419" t="s">
        <v>1231</v>
      </c>
      <c r="AT419" t="s">
        <v>6858</v>
      </c>
      <c r="AU419">
        <v>2007</v>
      </c>
      <c r="AV419">
        <v>39</v>
      </c>
      <c r="AW419">
        <v>2</v>
      </c>
      <c r="AX419" t="s">
        <v>74</v>
      </c>
      <c r="AY419" t="s">
        <v>74</v>
      </c>
      <c r="AZ419" t="s">
        <v>74</v>
      </c>
      <c r="BA419" t="s">
        <v>74</v>
      </c>
      <c r="BB419">
        <v>210</v>
      </c>
      <c r="BC419">
        <v>217</v>
      </c>
      <c r="BD419" t="s">
        <v>74</v>
      </c>
      <c r="BE419" t="s">
        <v>74</v>
      </c>
      <c r="BF419" t="s">
        <v>74</v>
      </c>
      <c r="BG419" t="s">
        <v>74</v>
      </c>
      <c r="BH419" t="s">
        <v>74</v>
      </c>
      <c r="BI419">
        <v>8</v>
      </c>
      <c r="BJ419" t="s">
        <v>1233</v>
      </c>
      <c r="BK419" t="s">
        <v>98</v>
      </c>
      <c r="BL419" t="s">
        <v>1234</v>
      </c>
      <c r="BM419" t="s">
        <v>6928</v>
      </c>
      <c r="BN419" t="s">
        <v>74</v>
      </c>
      <c r="BO419" t="s">
        <v>1289</v>
      </c>
      <c r="BP419" t="s">
        <v>74</v>
      </c>
      <c r="BQ419" t="s">
        <v>74</v>
      </c>
      <c r="BR419" t="s">
        <v>101</v>
      </c>
      <c r="BS419" t="s">
        <v>6953</v>
      </c>
      <c r="BT419" t="str">
        <f>HYPERLINK("https%3A%2F%2Fwww.webofscience.com%2Fwos%2Fwoscc%2Ffull-record%2FWOS:000246649100003","View Full Record in Web of Science")</f>
        <v>View Full Record in Web of Science</v>
      </c>
    </row>
    <row r="420" spans="1:72" x14ac:dyDescent="0.15">
      <c r="A420" t="s">
        <v>72</v>
      </c>
      <c r="B420" t="s">
        <v>6954</v>
      </c>
      <c r="C420" t="s">
        <v>74</v>
      </c>
      <c r="D420" t="s">
        <v>74</v>
      </c>
      <c r="E420" t="s">
        <v>74</v>
      </c>
      <c r="F420" t="s">
        <v>6955</v>
      </c>
      <c r="G420" t="s">
        <v>74</v>
      </c>
      <c r="H420" t="s">
        <v>74</v>
      </c>
      <c r="I420" t="s">
        <v>6956</v>
      </c>
      <c r="J420" t="s">
        <v>1217</v>
      </c>
      <c r="K420" t="s">
        <v>74</v>
      </c>
      <c r="L420" t="s">
        <v>74</v>
      </c>
      <c r="M420" t="s">
        <v>78</v>
      </c>
      <c r="N420" t="s">
        <v>79</v>
      </c>
      <c r="O420" t="s">
        <v>74</v>
      </c>
      <c r="P420" t="s">
        <v>74</v>
      </c>
      <c r="Q420" t="s">
        <v>74</v>
      </c>
      <c r="R420" t="s">
        <v>74</v>
      </c>
      <c r="S420" t="s">
        <v>74</v>
      </c>
      <c r="T420" t="s">
        <v>74</v>
      </c>
      <c r="U420" t="s">
        <v>6957</v>
      </c>
      <c r="V420" t="s">
        <v>6958</v>
      </c>
      <c r="W420" t="s">
        <v>6959</v>
      </c>
      <c r="X420" t="s">
        <v>6960</v>
      </c>
      <c r="Y420" t="s">
        <v>6961</v>
      </c>
      <c r="Z420" t="s">
        <v>6962</v>
      </c>
      <c r="AA420" t="s">
        <v>74</v>
      </c>
      <c r="AB420" t="s">
        <v>6963</v>
      </c>
      <c r="AC420" t="s">
        <v>74</v>
      </c>
      <c r="AD420" t="s">
        <v>74</v>
      </c>
      <c r="AE420" t="s">
        <v>74</v>
      </c>
      <c r="AF420" t="s">
        <v>74</v>
      </c>
      <c r="AG420">
        <v>32</v>
      </c>
      <c r="AH420">
        <v>54</v>
      </c>
      <c r="AI420">
        <v>59</v>
      </c>
      <c r="AJ420">
        <v>3</v>
      </c>
      <c r="AK420">
        <v>20</v>
      </c>
      <c r="AL420" t="s">
        <v>1225</v>
      </c>
      <c r="AM420" t="s">
        <v>1226</v>
      </c>
      <c r="AN420" t="s">
        <v>1227</v>
      </c>
      <c r="AO420" t="s">
        <v>1228</v>
      </c>
      <c r="AP420" t="s">
        <v>1229</v>
      </c>
      <c r="AQ420" t="s">
        <v>74</v>
      </c>
      <c r="AR420" t="s">
        <v>1230</v>
      </c>
      <c r="AS420" t="s">
        <v>1231</v>
      </c>
      <c r="AT420" t="s">
        <v>6858</v>
      </c>
      <c r="AU420">
        <v>2007</v>
      </c>
      <c r="AV420">
        <v>39</v>
      </c>
      <c r="AW420">
        <v>2</v>
      </c>
      <c r="AX420" t="s">
        <v>74</v>
      </c>
      <c r="AY420" t="s">
        <v>74</v>
      </c>
      <c r="AZ420" t="s">
        <v>74</v>
      </c>
      <c r="BA420" t="s">
        <v>74</v>
      </c>
      <c r="BB420">
        <v>218</v>
      </c>
      <c r="BC420">
        <v>228</v>
      </c>
      <c r="BD420" t="s">
        <v>74</v>
      </c>
      <c r="BE420" t="s">
        <v>6964</v>
      </c>
      <c r="BF420" t="str">
        <f>HYPERLINK("http://dx.doi.org/10.1657/1523-0430(2007)39[218:AEODIO]2.0.CO;2","http://dx.doi.org/10.1657/1523-0430(2007)39[218:AEODIO]2.0.CO;2")</f>
        <v>http://dx.doi.org/10.1657/1523-0430(2007)39[218:AEODIO]2.0.CO;2</v>
      </c>
      <c r="BG420" t="s">
        <v>74</v>
      </c>
      <c r="BH420" t="s">
        <v>74</v>
      </c>
      <c r="BI420">
        <v>11</v>
      </c>
      <c r="BJ420" t="s">
        <v>1233</v>
      </c>
      <c r="BK420" t="s">
        <v>98</v>
      </c>
      <c r="BL420" t="s">
        <v>1234</v>
      </c>
      <c r="BM420" t="s">
        <v>6928</v>
      </c>
      <c r="BN420" t="s">
        <v>74</v>
      </c>
      <c r="BO420" t="s">
        <v>4891</v>
      </c>
      <c r="BP420" t="s">
        <v>74</v>
      </c>
      <c r="BQ420" t="s">
        <v>74</v>
      </c>
      <c r="BR420" t="s">
        <v>101</v>
      </c>
      <c r="BS420" t="s">
        <v>6965</v>
      </c>
      <c r="BT420" t="str">
        <f>HYPERLINK("https%3A%2F%2Fwww.webofscience.com%2Fwos%2Fwoscc%2Ffull-record%2FWOS:000246649100004","View Full Record in Web of Science")</f>
        <v>View Full Record in Web of Science</v>
      </c>
    </row>
    <row r="421" spans="1:72" x14ac:dyDescent="0.15">
      <c r="A421" t="s">
        <v>72</v>
      </c>
      <c r="B421" t="s">
        <v>6966</v>
      </c>
      <c r="C421" t="s">
        <v>74</v>
      </c>
      <c r="D421" t="s">
        <v>74</v>
      </c>
      <c r="E421" t="s">
        <v>74</v>
      </c>
      <c r="F421" t="s">
        <v>6967</v>
      </c>
      <c r="G421" t="s">
        <v>74</v>
      </c>
      <c r="H421" t="s">
        <v>74</v>
      </c>
      <c r="I421" t="s">
        <v>6968</v>
      </c>
      <c r="J421" t="s">
        <v>1217</v>
      </c>
      <c r="K421" t="s">
        <v>74</v>
      </c>
      <c r="L421" t="s">
        <v>74</v>
      </c>
      <c r="M421" t="s">
        <v>78</v>
      </c>
      <c r="N421" t="s">
        <v>79</v>
      </c>
      <c r="O421" t="s">
        <v>74</v>
      </c>
      <c r="P421" t="s">
        <v>74</v>
      </c>
      <c r="Q421" t="s">
        <v>74</v>
      </c>
      <c r="R421" t="s">
        <v>74</v>
      </c>
      <c r="S421" t="s">
        <v>74</v>
      </c>
      <c r="T421" t="s">
        <v>74</v>
      </c>
      <c r="U421" t="s">
        <v>6969</v>
      </c>
      <c r="V421" t="s">
        <v>6970</v>
      </c>
      <c r="W421" t="s">
        <v>6971</v>
      </c>
      <c r="X421" t="s">
        <v>6972</v>
      </c>
      <c r="Y421" t="s">
        <v>6973</v>
      </c>
      <c r="Z421" t="s">
        <v>6974</v>
      </c>
      <c r="AA421" t="s">
        <v>6975</v>
      </c>
      <c r="AB421" t="s">
        <v>6976</v>
      </c>
      <c r="AC421" t="s">
        <v>74</v>
      </c>
      <c r="AD421" t="s">
        <v>74</v>
      </c>
      <c r="AE421" t="s">
        <v>74</v>
      </c>
      <c r="AF421" t="s">
        <v>74</v>
      </c>
      <c r="AG421">
        <v>51</v>
      </c>
      <c r="AH421">
        <v>176</v>
      </c>
      <c r="AI421">
        <v>192</v>
      </c>
      <c r="AJ421">
        <v>3</v>
      </c>
      <c r="AK421">
        <v>62</v>
      </c>
      <c r="AL421" t="s">
        <v>1262</v>
      </c>
      <c r="AM421" t="s">
        <v>1263</v>
      </c>
      <c r="AN421" t="s">
        <v>1264</v>
      </c>
      <c r="AO421" t="s">
        <v>1228</v>
      </c>
      <c r="AP421" t="s">
        <v>1229</v>
      </c>
      <c r="AQ421" t="s">
        <v>74</v>
      </c>
      <c r="AR421" t="s">
        <v>1230</v>
      </c>
      <c r="AS421" t="s">
        <v>1231</v>
      </c>
      <c r="AT421" t="s">
        <v>6858</v>
      </c>
      <c r="AU421">
        <v>2007</v>
      </c>
      <c r="AV421">
        <v>39</v>
      </c>
      <c r="AW421">
        <v>2</v>
      </c>
      <c r="AX421" t="s">
        <v>74</v>
      </c>
      <c r="AY421" t="s">
        <v>74</v>
      </c>
      <c r="AZ421" t="s">
        <v>74</v>
      </c>
      <c r="BA421" t="s">
        <v>74</v>
      </c>
      <c r="BB421">
        <v>229</v>
      </c>
      <c r="BC421">
        <v>236</v>
      </c>
      <c r="BD421" t="s">
        <v>74</v>
      </c>
      <c r="BE421" t="s">
        <v>6977</v>
      </c>
      <c r="BF421" t="str">
        <f>HYPERLINK("http://dx.doi.org/10.1657/1523-0430(2007)39[229:MMOCPA]2.0.CO;2","http://dx.doi.org/10.1657/1523-0430(2007)39[229:MMOCPA]2.0.CO;2")</f>
        <v>http://dx.doi.org/10.1657/1523-0430(2007)39[229:MMOCPA]2.0.CO;2</v>
      </c>
      <c r="BG421" t="s">
        <v>74</v>
      </c>
      <c r="BH421" t="s">
        <v>74</v>
      </c>
      <c r="BI421">
        <v>8</v>
      </c>
      <c r="BJ421" t="s">
        <v>1233</v>
      </c>
      <c r="BK421" t="s">
        <v>98</v>
      </c>
      <c r="BL421" t="s">
        <v>1234</v>
      </c>
      <c r="BM421" t="s">
        <v>6928</v>
      </c>
      <c r="BN421" t="s">
        <v>74</v>
      </c>
      <c r="BO421" t="s">
        <v>1249</v>
      </c>
      <c r="BP421" t="s">
        <v>74</v>
      </c>
      <c r="BQ421" t="s">
        <v>74</v>
      </c>
      <c r="BR421" t="s">
        <v>101</v>
      </c>
      <c r="BS421" t="s">
        <v>6978</v>
      </c>
      <c r="BT421" t="str">
        <f>HYPERLINK("https%3A%2F%2Fwww.webofscience.com%2Fwos%2Fwoscc%2Ffull-record%2FWOS:000246649100005","View Full Record in Web of Science")</f>
        <v>View Full Record in Web of Science</v>
      </c>
    </row>
    <row r="422" spans="1:72" x14ac:dyDescent="0.15">
      <c r="A422" t="s">
        <v>72</v>
      </c>
      <c r="B422" t="s">
        <v>6979</v>
      </c>
      <c r="C422" t="s">
        <v>74</v>
      </c>
      <c r="D422" t="s">
        <v>74</v>
      </c>
      <c r="E422" t="s">
        <v>74</v>
      </c>
      <c r="F422" t="s">
        <v>6980</v>
      </c>
      <c r="G422" t="s">
        <v>74</v>
      </c>
      <c r="H422" t="s">
        <v>74</v>
      </c>
      <c r="I422" t="s">
        <v>6981</v>
      </c>
      <c r="J422" t="s">
        <v>1217</v>
      </c>
      <c r="K422" t="s">
        <v>74</v>
      </c>
      <c r="L422" t="s">
        <v>74</v>
      </c>
      <c r="M422" t="s">
        <v>78</v>
      </c>
      <c r="N422" t="s">
        <v>79</v>
      </c>
      <c r="O422" t="s">
        <v>74</v>
      </c>
      <c r="P422" t="s">
        <v>74</v>
      </c>
      <c r="Q422" t="s">
        <v>74</v>
      </c>
      <c r="R422" t="s">
        <v>74</v>
      </c>
      <c r="S422" t="s">
        <v>74</v>
      </c>
      <c r="T422" t="s">
        <v>74</v>
      </c>
      <c r="U422" t="s">
        <v>6982</v>
      </c>
      <c r="V422" t="s">
        <v>6983</v>
      </c>
      <c r="W422" t="s">
        <v>6984</v>
      </c>
      <c r="X422" t="s">
        <v>74</v>
      </c>
      <c r="Y422" t="s">
        <v>6985</v>
      </c>
      <c r="Z422" t="s">
        <v>6986</v>
      </c>
      <c r="AA422" t="s">
        <v>74</v>
      </c>
      <c r="AB422" t="s">
        <v>74</v>
      </c>
      <c r="AC422" t="s">
        <v>74</v>
      </c>
      <c r="AD422" t="s">
        <v>74</v>
      </c>
      <c r="AE422" t="s">
        <v>74</v>
      </c>
      <c r="AF422" t="s">
        <v>74</v>
      </c>
      <c r="AG422">
        <v>90</v>
      </c>
      <c r="AH422">
        <v>33</v>
      </c>
      <c r="AI422">
        <v>35</v>
      </c>
      <c r="AJ422">
        <v>2</v>
      </c>
      <c r="AK422">
        <v>51</v>
      </c>
      <c r="AL422" t="s">
        <v>1225</v>
      </c>
      <c r="AM422" t="s">
        <v>1226</v>
      </c>
      <c r="AN422" t="s">
        <v>1227</v>
      </c>
      <c r="AO422" t="s">
        <v>1228</v>
      </c>
      <c r="AP422" t="s">
        <v>1229</v>
      </c>
      <c r="AQ422" t="s">
        <v>74</v>
      </c>
      <c r="AR422" t="s">
        <v>1230</v>
      </c>
      <c r="AS422" t="s">
        <v>1231</v>
      </c>
      <c r="AT422" t="s">
        <v>6858</v>
      </c>
      <c r="AU422">
        <v>2007</v>
      </c>
      <c r="AV422">
        <v>39</v>
      </c>
      <c r="AW422">
        <v>2</v>
      </c>
      <c r="AX422" t="s">
        <v>74</v>
      </c>
      <c r="AY422" t="s">
        <v>74</v>
      </c>
      <c r="AZ422" t="s">
        <v>74</v>
      </c>
      <c r="BA422" t="s">
        <v>74</v>
      </c>
      <c r="BB422">
        <v>237</v>
      </c>
      <c r="BC422">
        <v>244</v>
      </c>
      <c r="BD422" t="s">
        <v>74</v>
      </c>
      <c r="BE422" t="s">
        <v>6987</v>
      </c>
      <c r="BF422" t="str">
        <f>HYPERLINK("http://dx.doi.org/10.1657/1523-0430(2007)39[237:WALOCC]2.0.CO;2","http://dx.doi.org/10.1657/1523-0430(2007)39[237:WALOCC]2.0.CO;2")</f>
        <v>http://dx.doi.org/10.1657/1523-0430(2007)39[237:WALOCC]2.0.CO;2</v>
      </c>
      <c r="BG422" t="s">
        <v>74</v>
      </c>
      <c r="BH422" t="s">
        <v>74</v>
      </c>
      <c r="BI422">
        <v>8</v>
      </c>
      <c r="BJ422" t="s">
        <v>1233</v>
      </c>
      <c r="BK422" t="s">
        <v>98</v>
      </c>
      <c r="BL422" t="s">
        <v>1234</v>
      </c>
      <c r="BM422" t="s">
        <v>6928</v>
      </c>
      <c r="BN422" t="s">
        <v>74</v>
      </c>
      <c r="BO422" t="s">
        <v>1249</v>
      </c>
      <c r="BP422" t="s">
        <v>74</v>
      </c>
      <c r="BQ422" t="s">
        <v>74</v>
      </c>
      <c r="BR422" t="s">
        <v>101</v>
      </c>
      <c r="BS422" t="s">
        <v>6988</v>
      </c>
      <c r="BT422" t="str">
        <f>HYPERLINK("https%3A%2F%2Fwww.webofscience.com%2Fwos%2Fwoscc%2Ffull-record%2FWOS:000246649100006","View Full Record in Web of Science")</f>
        <v>View Full Record in Web of Science</v>
      </c>
    </row>
    <row r="423" spans="1:72" x14ac:dyDescent="0.15">
      <c r="A423" t="s">
        <v>72</v>
      </c>
      <c r="B423" t="s">
        <v>6989</v>
      </c>
      <c r="C423" t="s">
        <v>74</v>
      </c>
      <c r="D423" t="s">
        <v>74</v>
      </c>
      <c r="E423" t="s">
        <v>74</v>
      </c>
      <c r="F423" t="s">
        <v>6990</v>
      </c>
      <c r="G423" t="s">
        <v>74</v>
      </c>
      <c r="H423" t="s">
        <v>74</v>
      </c>
      <c r="I423" t="s">
        <v>6991</v>
      </c>
      <c r="J423" t="s">
        <v>1217</v>
      </c>
      <c r="K423" t="s">
        <v>74</v>
      </c>
      <c r="L423" t="s">
        <v>74</v>
      </c>
      <c r="M423" t="s">
        <v>78</v>
      </c>
      <c r="N423" t="s">
        <v>79</v>
      </c>
      <c r="O423" t="s">
        <v>74</v>
      </c>
      <c r="P423" t="s">
        <v>74</v>
      </c>
      <c r="Q423" t="s">
        <v>74</v>
      </c>
      <c r="R423" t="s">
        <v>74</v>
      </c>
      <c r="S423" t="s">
        <v>74</v>
      </c>
      <c r="T423" t="s">
        <v>74</v>
      </c>
      <c r="U423" t="s">
        <v>6992</v>
      </c>
      <c r="V423" t="s">
        <v>6993</v>
      </c>
      <c r="W423" t="s">
        <v>6994</v>
      </c>
      <c r="X423" t="s">
        <v>6995</v>
      </c>
      <c r="Y423" t="s">
        <v>6996</v>
      </c>
      <c r="Z423" t="s">
        <v>6997</v>
      </c>
      <c r="AA423" t="s">
        <v>6998</v>
      </c>
      <c r="AB423" t="s">
        <v>6999</v>
      </c>
      <c r="AC423" t="s">
        <v>74</v>
      </c>
      <c r="AD423" t="s">
        <v>74</v>
      </c>
      <c r="AE423" t="s">
        <v>74</v>
      </c>
      <c r="AF423" t="s">
        <v>74</v>
      </c>
      <c r="AG423">
        <v>80</v>
      </c>
      <c r="AH423">
        <v>48</v>
      </c>
      <c r="AI423">
        <v>51</v>
      </c>
      <c r="AJ423">
        <v>1</v>
      </c>
      <c r="AK423">
        <v>27</v>
      </c>
      <c r="AL423" t="s">
        <v>1262</v>
      </c>
      <c r="AM423" t="s">
        <v>1263</v>
      </c>
      <c r="AN423" t="s">
        <v>1264</v>
      </c>
      <c r="AO423" t="s">
        <v>1228</v>
      </c>
      <c r="AP423" t="s">
        <v>1229</v>
      </c>
      <c r="AQ423" t="s">
        <v>74</v>
      </c>
      <c r="AR423" t="s">
        <v>1230</v>
      </c>
      <c r="AS423" t="s">
        <v>1231</v>
      </c>
      <c r="AT423" t="s">
        <v>6858</v>
      </c>
      <c r="AU423">
        <v>2007</v>
      </c>
      <c r="AV423">
        <v>39</v>
      </c>
      <c r="AW423">
        <v>2</v>
      </c>
      <c r="AX423" t="s">
        <v>74</v>
      </c>
      <c r="AY423" t="s">
        <v>74</v>
      </c>
      <c r="AZ423" t="s">
        <v>74</v>
      </c>
      <c r="BA423" t="s">
        <v>74</v>
      </c>
      <c r="BB423">
        <v>245</v>
      </c>
      <c r="BC423">
        <v>257</v>
      </c>
      <c r="BD423" t="s">
        <v>74</v>
      </c>
      <c r="BE423" t="s">
        <v>7000</v>
      </c>
      <c r="BF423" t="str">
        <f>HYPERLINK("http://dx.doi.org/10.1657/1523-0430(2007)39[245:DDGSAP]2.0.CO;2","http://dx.doi.org/10.1657/1523-0430(2007)39[245:DDGSAP]2.0.CO;2")</f>
        <v>http://dx.doi.org/10.1657/1523-0430(2007)39[245:DDGSAP]2.0.CO;2</v>
      </c>
      <c r="BG423" t="s">
        <v>74</v>
      </c>
      <c r="BH423" t="s">
        <v>74</v>
      </c>
      <c r="BI423">
        <v>13</v>
      </c>
      <c r="BJ423" t="s">
        <v>1233</v>
      </c>
      <c r="BK423" t="s">
        <v>98</v>
      </c>
      <c r="BL423" t="s">
        <v>1234</v>
      </c>
      <c r="BM423" t="s">
        <v>6928</v>
      </c>
      <c r="BN423" t="s">
        <v>74</v>
      </c>
      <c r="BO423" t="s">
        <v>1249</v>
      </c>
      <c r="BP423" t="s">
        <v>74</v>
      </c>
      <c r="BQ423" t="s">
        <v>74</v>
      </c>
      <c r="BR423" t="s">
        <v>101</v>
      </c>
      <c r="BS423" t="s">
        <v>7001</v>
      </c>
      <c r="BT423" t="str">
        <f>HYPERLINK("https%3A%2F%2Fwww.webofscience.com%2Fwos%2Fwoscc%2Ffull-record%2FWOS:000246649100007","View Full Record in Web of Science")</f>
        <v>View Full Record in Web of Science</v>
      </c>
    </row>
    <row r="424" spans="1:72" x14ac:dyDescent="0.15">
      <c r="A424" t="s">
        <v>72</v>
      </c>
      <c r="B424" t="s">
        <v>7002</v>
      </c>
      <c r="C424" t="s">
        <v>74</v>
      </c>
      <c r="D424" t="s">
        <v>74</v>
      </c>
      <c r="E424" t="s">
        <v>74</v>
      </c>
      <c r="F424" t="s">
        <v>7003</v>
      </c>
      <c r="G424" t="s">
        <v>74</v>
      </c>
      <c r="H424" t="s">
        <v>74</v>
      </c>
      <c r="I424" t="s">
        <v>7004</v>
      </c>
      <c r="J424" t="s">
        <v>1217</v>
      </c>
      <c r="K424" t="s">
        <v>74</v>
      </c>
      <c r="L424" t="s">
        <v>74</v>
      </c>
      <c r="M424" t="s">
        <v>78</v>
      </c>
      <c r="N424" t="s">
        <v>79</v>
      </c>
      <c r="O424" t="s">
        <v>74</v>
      </c>
      <c r="P424" t="s">
        <v>74</v>
      </c>
      <c r="Q424" t="s">
        <v>74</v>
      </c>
      <c r="R424" t="s">
        <v>74</v>
      </c>
      <c r="S424" t="s">
        <v>74</v>
      </c>
      <c r="T424" t="s">
        <v>74</v>
      </c>
      <c r="U424" t="s">
        <v>7005</v>
      </c>
      <c r="V424" t="s">
        <v>7006</v>
      </c>
      <c r="W424" t="s">
        <v>7007</v>
      </c>
      <c r="X424" t="s">
        <v>7008</v>
      </c>
      <c r="Y424" t="s">
        <v>7009</v>
      </c>
      <c r="Z424" t="s">
        <v>7010</v>
      </c>
      <c r="AA424" t="s">
        <v>7011</v>
      </c>
      <c r="AB424" t="s">
        <v>7012</v>
      </c>
      <c r="AC424" t="s">
        <v>74</v>
      </c>
      <c r="AD424" t="s">
        <v>74</v>
      </c>
      <c r="AE424" t="s">
        <v>74</v>
      </c>
      <c r="AF424" t="s">
        <v>74</v>
      </c>
      <c r="AG424">
        <v>53</v>
      </c>
      <c r="AH424">
        <v>7</v>
      </c>
      <c r="AI424">
        <v>7</v>
      </c>
      <c r="AJ424">
        <v>0</v>
      </c>
      <c r="AK424">
        <v>16</v>
      </c>
      <c r="AL424" t="s">
        <v>1262</v>
      </c>
      <c r="AM424" t="s">
        <v>1263</v>
      </c>
      <c r="AN424" t="s">
        <v>1264</v>
      </c>
      <c r="AO424" t="s">
        <v>1228</v>
      </c>
      <c r="AP424" t="s">
        <v>74</v>
      </c>
      <c r="AQ424" t="s">
        <v>74</v>
      </c>
      <c r="AR424" t="s">
        <v>1230</v>
      </c>
      <c r="AS424" t="s">
        <v>1231</v>
      </c>
      <c r="AT424" t="s">
        <v>6858</v>
      </c>
      <c r="AU424">
        <v>2007</v>
      </c>
      <c r="AV424">
        <v>39</v>
      </c>
      <c r="AW424">
        <v>2</v>
      </c>
      <c r="AX424" t="s">
        <v>74</v>
      </c>
      <c r="AY424" t="s">
        <v>74</v>
      </c>
      <c r="AZ424" t="s">
        <v>74</v>
      </c>
      <c r="BA424" t="s">
        <v>74</v>
      </c>
      <c r="BB424">
        <v>258</v>
      </c>
      <c r="BC424">
        <v>267</v>
      </c>
      <c r="BD424" t="s">
        <v>74</v>
      </c>
      <c r="BE424" t="s">
        <v>7013</v>
      </c>
      <c r="BF424" t="str">
        <f>HYPERLINK("http://dx.doi.org/10.1657/1523-0430(2007)39[258:COVITA]2.0.CO;2","http://dx.doi.org/10.1657/1523-0430(2007)39[258:COVITA]2.0.CO;2")</f>
        <v>http://dx.doi.org/10.1657/1523-0430(2007)39[258:COVITA]2.0.CO;2</v>
      </c>
      <c r="BG424" t="s">
        <v>74</v>
      </c>
      <c r="BH424" t="s">
        <v>74</v>
      </c>
      <c r="BI424">
        <v>10</v>
      </c>
      <c r="BJ424" t="s">
        <v>1233</v>
      </c>
      <c r="BK424" t="s">
        <v>98</v>
      </c>
      <c r="BL424" t="s">
        <v>1234</v>
      </c>
      <c r="BM424" t="s">
        <v>6928</v>
      </c>
      <c r="BN424" t="s">
        <v>74</v>
      </c>
      <c r="BO424" t="s">
        <v>1249</v>
      </c>
      <c r="BP424" t="s">
        <v>74</v>
      </c>
      <c r="BQ424" t="s">
        <v>74</v>
      </c>
      <c r="BR424" t="s">
        <v>101</v>
      </c>
      <c r="BS424" t="s">
        <v>7014</v>
      </c>
      <c r="BT424" t="str">
        <f>HYPERLINK("https%3A%2F%2Fwww.webofscience.com%2Fwos%2Fwoscc%2Ffull-record%2FWOS:000246649100008","View Full Record in Web of Science")</f>
        <v>View Full Record in Web of Science</v>
      </c>
    </row>
    <row r="425" spans="1:72" x14ac:dyDescent="0.15">
      <c r="A425" t="s">
        <v>72</v>
      </c>
      <c r="B425" t="s">
        <v>7015</v>
      </c>
      <c r="C425" t="s">
        <v>74</v>
      </c>
      <c r="D425" t="s">
        <v>74</v>
      </c>
      <c r="E425" t="s">
        <v>74</v>
      </c>
      <c r="F425" t="s">
        <v>7016</v>
      </c>
      <c r="G425" t="s">
        <v>74</v>
      </c>
      <c r="H425" t="s">
        <v>74</v>
      </c>
      <c r="I425" t="s">
        <v>7017</v>
      </c>
      <c r="J425" t="s">
        <v>1217</v>
      </c>
      <c r="K425" t="s">
        <v>74</v>
      </c>
      <c r="L425" t="s">
        <v>74</v>
      </c>
      <c r="M425" t="s">
        <v>78</v>
      </c>
      <c r="N425" t="s">
        <v>79</v>
      </c>
      <c r="O425" t="s">
        <v>74</v>
      </c>
      <c r="P425" t="s">
        <v>74</v>
      </c>
      <c r="Q425" t="s">
        <v>74</v>
      </c>
      <c r="R425" t="s">
        <v>74</v>
      </c>
      <c r="S425" t="s">
        <v>74</v>
      </c>
      <c r="T425" t="s">
        <v>74</v>
      </c>
      <c r="U425" t="s">
        <v>7018</v>
      </c>
      <c r="V425" t="s">
        <v>7019</v>
      </c>
      <c r="W425" t="s">
        <v>7020</v>
      </c>
      <c r="X425" t="s">
        <v>7021</v>
      </c>
      <c r="Y425" t="s">
        <v>7022</v>
      </c>
      <c r="Z425" t="s">
        <v>7023</v>
      </c>
      <c r="AA425" t="s">
        <v>7024</v>
      </c>
      <c r="AB425" t="s">
        <v>7025</v>
      </c>
      <c r="AC425" t="s">
        <v>74</v>
      </c>
      <c r="AD425" t="s">
        <v>74</v>
      </c>
      <c r="AE425" t="s">
        <v>74</v>
      </c>
      <c r="AF425" t="s">
        <v>74</v>
      </c>
      <c r="AG425">
        <v>57</v>
      </c>
      <c r="AH425">
        <v>92</v>
      </c>
      <c r="AI425">
        <v>112</v>
      </c>
      <c r="AJ425">
        <v>5</v>
      </c>
      <c r="AK425">
        <v>128</v>
      </c>
      <c r="AL425" t="s">
        <v>1262</v>
      </c>
      <c r="AM425" t="s">
        <v>1263</v>
      </c>
      <c r="AN425" t="s">
        <v>1264</v>
      </c>
      <c r="AO425" t="s">
        <v>1228</v>
      </c>
      <c r="AP425" t="s">
        <v>1229</v>
      </c>
      <c r="AQ425" t="s">
        <v>74</v>
      </c>
      <c r="AR425" t="s">
        <v>1230</v>
      </c>
      <c r="AS425" t="s">
        <v>1231</v>
      </c>
      <c r="AT425" t="s">
        <v>6858</v>
      </c>
      <c r="AU425">
        <v>2007</v>
      </c>
      <c r="AV425">
        <v>39</v>
      </c>
      <c r="AW425">
        <v>2</v>
      </c>
      <c r="AX425" t="s">
        <v>74</v>
      </c>
      <c r="AY425" t="s">
        <v>74</v>
      </c>
      <c r="AZ425" t="s">
        <v>74</v>
      </c>
      <c r="BA425" t="s">
        <v>74</v>
      </c>
      <c r="BB425">
        <v>268</v>
      </c>
      <c r="BC425">
        <v>276</v>
      </c>
      <c r="BD425" t="s">
        <v>74</v>
      </c>
      <c r="BE425" t="s">
        <v>7026</v>
      </c>
      <c r="BF425" t="str">
        <f>HYPERLINK("http://dx.doi.org/10.1657/1523-0430(2007)39[268:RAMDIT]2.0.CO;2","http://dx.doi.org/10.1657/1523-0430(2007)39[268:RAMDIT]2.0.CO;2")</f>
        <v>http://dx.doi.org/10.1657/1523-0430(2007)39[268:RAMDIT]2.0.CO;2</v>
      </c>
      <c r="BG425" t="s">
        <v>74</v>
      </c>
      <c r="BH425" t="s">
        <v>74</v>
      </c>
      <c r="BI425">
        <v>9</v>
      </c>
      <c r="BJ425" t="s">
        <v>1233</v>
      </c>
      <c r="BK425" t="s">
        <v>98</v>
      </c>
      <c r="BL425" t="s">
        <v>1234</v>
      </c>
      <c r="BM425" t="s">
        <v>6928</v>
      </c>
      <c r="BN425" t="s">
        <v>74</v>
      </c>
      <c r="BO425" t="s">
        <v>1249</v>
      </c>
      <c r="BP425" t="s">
        <v>74</v>
      </c>
      <c r="BQ425" t="s">
        <v>74</v>
      </c>
      <c r="BR425" t="s">
        <v>101</v>
      </c>
      <c r="BS425" t="s">
        <v>7027</v>
      </c>
      <c r="BT425" t="str">
        <f>HYPERLINK("https%3A%2F%2Fwww.webofscience.com%2Fwos%2Fwoscc%2Ffull-record%2FWOS:000246649100009","View Full Record in Web of Science")</f>
        <v>View Full Record in Web of Science</v>
      </c>
    </row>
    <row r="426" spans="1:72" x14ac:dyDescent="0.15">
      <c r="A426" t="s">
        <v>72</v>
      </c>
      <c r="B426" t="s">
        <v>7028</v>
      </c>
      <c r="C426" t="s">
        <v>74</v>
      </c>
      <c r="D426" t="s">
        <v>74</v>
      </c>
      <c r="E426" t="s">
        <v>74</v>
      </c>
      <c r="F426" t="s">
        <v>7029</v>
      </c>
      <c r="G426" t="s">
        <v>74</v>
      </c>
      <c r="H426" t="s">
        <v>74</v>
      </c>
      <c r="I426" t="s">
        <v>7030</v>
      </c>
      <c r="J426" t="s">
        <v>1217</v>
      </c>
      <c r="K426" t="s">
        <v>74</v>
      </c>
      <c r="L426" t="s">
        <v>74</v>
      </c>
      <c r="M426" t="s">
        <v>78</v>
      </c>
      <c r="N426" t="s">
        <v>79</v>
      </c>
      <c r="O426" t="s">
        <v>74</v>
      </c>
      <c r="P426" t="s">
        <v>74</v>
      </c>
      <c r="Q426" t="s">
        <v>74</v>
      </c>
      <c r="R426" t="s">
        <v>74</v>
      </c>
      <c r="S426" t="s">
        <v>74</v>
      </c>
      <c r="T426" t="s">
        <v>74</v>
      </c>
      <c r="U426" t="s">
        <v>7031</v>
      </c>
      <c r="V426" t="s">
        <v>7032</v>
      </c>
      <c r="W426" t="s">
        <v>7033</v>
      </c>
      <c r="X426" t="s">
        <v>7034</v>
      </c>
      <c r="Y426" t="s">
        <v>7035</v>
      </c>
      <c r="Z426" t="s">
        <v>7036</v>
      </c>
      <c r="AA426" t="s">
        <v>7037</v>
      </c>
      <c r="AB426" t="s">
        <v>7038</v>
      </c>
      <c r="AC426" t="s">
        <v>74</v>
      </c>
      <c r="AD426" t="s">
        <v>74</v>
      </c>
      <c r="AE426" t="s">
        <v>74</v>
      </c>
      <c r="AF426" t="s">
        <v>74</v>
      </c>
      <c r="AG426">
        <v>35</v>
      </c>
      <c r="AH426">
        <v>22</v>
      </c>
      <c r="AI426">
        <v>23</v>
      </c>
      <c r="AJ426">
        <v>1</v>
      </c>
      <c r="AK426">
        <v>8</v>
      </c>
      <c r="AL426" t="s">
        <v>1225</v>
      </c>
      <c r="AM426" t="s">
        <v>1226</v>
      </c>
      <c r="AN426" t="s">
        <v>1227</v>
      </c>
      <c r="AO426" t="s">
        <v>1228</v>
      </c>
      <c r="AP426" t="s">
        <v>1229</v>
      </c>
      <c r="AQ426" t="s">
        <v>74</v>
      </c>
      <c r="AR426" t="s">
        <v>1230</v>
      </c>
      <c r="AS426" t="s">
        <v>1231</v>
      </c>
      <c r="AT426" t="s">
        <v>6858</v>
      </c>
      <c r="AU426">
        <v>2007</v>
      </c>
      <c r="AV426">
        <v>39</v>
      </c>
      <c r="AW426">
        <v>2</v>
      </c>
      <c r="AX426" t="s">
        <v>74</v>
      </c>
      <c r="AY426" t="s">
        <v>74</v>
      </c>
      <c r="AZ426" t="s">
        <v>74</v>
      </c>
      <c r="BA426" t="s">
        <v>74</v>
      </c>
      <c r="BB426">
        <v>277</v>
      </c>
      <c r="BC426">
        <v>285</v>
      </c>
      <c r="BD426" t="s">
        <v>74</v>
      </c>
      <c r="BE426" t="s">
        <v>7039</v>
      </c>
      <c r="BF426" t="str">
        <f>HYPERLINK("http://dx.doi.org/10.1657/1523-0430(2007)39[277:MUILS]2.0.CO;2","http://dx.doi.org/10.1657/1523-0430(2007)39[277:MUILS]2.0.CO;2")</f>
        <v>http://dx.doi.org/10.1657/1523-0430(2007)39[277:MUILS]2.0.CO;2</v>
      </c>
      <c r="BG426" t="s">
        <v>74</v>
      </c>
      <c r="BH426" t="s">
        <v>74</v>
      </c>
      <c r="BI426">
        <v>9</v>
      </c>
      <c r="BJ426" t="s">
        <v>1233</v>
      </c>
      <c r="BK426" t="s">
        <v>98</v>
      </c>
      <c r="BL426" t="s">
        <v>1234</v>
      </c>
      <c r="BM426" t="s">
        <v>6928</v>
      </c>
      <c r="BN426" t="s">
        <v>74</v>
      </c>
      <c r="BO426" t="s">
        <v>1249</v>
      </c>
      <c r="BP426" t="s">
        <v>74</v>
      </c>
      <c r="BQ426" t="s">
        <v>74</v>
      </c>
      <c r="BR426" t="s">
        <v>101</v>
      </c>
      <c r="BS426" t="s">
        <v>7040</v>
      </c>
      <c r="BT426" t="str">
        <f>HYPERLINK("https%3A%2F%2Fwww.webofscience.com%2Fwos%2Fwoscc%2Ffull-record%2FWOS:000246649100010","View Full Record in Web of Science")</f>
        <v>View Full Record in Web of Science</v>
      </c>
    </row>
    <row r="427" spans="1:72" x14ac:dyDescent="0.15">
      <c r="A427" t="s">
        <v>72</v>
      </c>
      <c r="B427" t="s">
        <v>7041</v>
      </c>
      <c r="C427" t="s">
        <v>74</v>
      </c>
      <c r="D427" t="s">
        <v>74</v>
      </c>
      <c r="E427" t="s">
        <v>74</v>
      </c>
      <c r="F427" t="s">
        <v>7042</v>
      </c>
      <c r="G427" t="s">
        <v>74</v>
      </c>
      <c r="H427" t="s">
        <v>74</v>
      </c>
      <c r="I427" t="s">
        <v>7043</v>
      </c>
      <c r="J427" t="s">
        <v>1217</v>
      </c>
      <c r="K427" t="s">
        <v>74</v>
      </c>
      <c r="L427" t="s">
        <v>74</v>
      </c>
      <c r="M427" t="s">
        <v>78</v>
      </c>
      <c r="N427" t="s">
        <v>79</v>
      </c>
      <c r="O427" t="s">
        <v>74</v>
      </c>
      <c r="P427" t="s">
        <v>74</v>
      </c>
      <c r="Q427" t="s">
        <v>74</v>
      </c>
      <c r="R427" t="s">
        <v>74</v>
      </c>
      <c r="S427" t="s">
        <v>74</v>
      </c>
      <c r="T427" t="s">
        <v>74</v>
      </c>
      <c r="U427" t="s">
        <v>7044</v>
      </c>
      <c r="V427" t="s">
        <v>7045</v>
      </c>
      <c r="W427" t="s">
        <v>7046</v>
      </c>
      <c r="X427" t="s">
        <v>7047</v>
      </c>
      <c r="Y427" t="s">
        <v>7048</v>
      </c>
      <c r="Z427" t="s">
        <v>7049</v>
      </c>
      <c r="AA427" t="s">
        <v>7050</v>
      </c>
      <c r="AB427" t="s">
        <v>7051</v>
      </c>
      <c r="AC427" t="s">
        <v>74</v>
      </c>
      <c r="AD427" t="s">
        <v>74</v>
      </c>
      <c r="AE427" t="s">
        <v>74</v>
      </c>
      <c r="AF427" t="s">
        <v>74</v>
      </c>
      <c r="AG427">
        <v>59</v>
      </c>
      <c r="AH427">
        <v>23</v>
      </c>
      <c r="AI427">
        <v>28</v>
      </c>
      <c r="AJ427">
        <v>1</v>
      </c>
      <c r="AK427">
        <v>10</v>
      </c>
      <c r="AL427" t="s">
        <v>1225</v>
      </c>
      <c r="AM427" t="s">
        <v>1226</v>
      </c>
      <c r="AN427" t="s">
        <v>1227</v>
      </c>
      <c r="AO427" t="s">
        <v>1228</v>
      </c>
      <c r="AP427" t="s">
        <v>1229</v>
      </c>
      <c r="AQ427" t="s">
        <v>74</v>
      </c>
      <c r="AR427" t="s">
        <v>1230</v>
      </c>
      <c r="AS427" t="s">
        <v>1231</v>
      </c>
      <c r="AT427" t="s">
        <v>6858</v>
      </c>
      <c r="AU427">
        <v>2007</v>
      </c>
      <c r="AV427">
        <v>39</v>
      </c>
      <c r="AW427">
        <v>2</v>
      </c>
      <c r="AX427" t="s">
        <v>74</v>
      </c>
      <c r="AY427" t="s">
        <v>74</v>
      </c>
      <c r="AZ427" t="s">
        <v>74</v>
      </c>
      <c r="BA427" t="s">
        <v>74</v>
      </c>
      <c r="BB427">
        <v>286</v>
      </c>
      <c r="BC427">
        <v>296</v>
      </c>
      <c r="BD427" t="s">
        <v>74</v>
      </c>
      <c r="BE427" t="s">
        <v>7052</v>
      </c>
      <c r="BF427" t="str">
        <f>HYPERLINK("http://dx.doi.org/10.1657/1523-0430(2007)39[286:SCAIOR]2.0.CO;2","http://dx.doi.org/10.1657/1523-0430(2007)39[286:SCAIOR]2.0.CO;2")</f>
        <v>http://dx.doi.org/10.1657/1523-0430(2007)39[286:SCAIOR]2.0.CO;2</v>
      </c>
      <c r="BG427" t="s">
        <v>74</v>
      </c>
      <c r="BH427" t="s">
        <v>74</v>
      </c>
      <c r="BI427">
        <v>11</v>
      </c>
      <c r="BJ427" t="s">
        <v>1233</v>
      </c>
      <c r="BK427" t="s">
        <v>98</v>
      </c>
      <c r="BL427" t="s">
        <v>1234</v>
      </c>
      <c r="BM427" t="s">
        <v>6928</v>
      </c>
      <c r="BN427" t="s">
        <v>74</v>
      </c>
      <c r="BO427" t="s">
        <v>1249</v>
      </c>
      <c r="BP427" t="s">
        <v>74</v>
      </c>
      <c r="BQ427" t="s">
        <v>74</v>
      </c>
      <c r="BR427" t="s">
        <v>101</v>
      </c>
      <c r="BS427" t="s">
        <v>7053</v>
      </c>
      <c r="BT427" t="str">
        <f>HYPERLINK("https%3A%2F%2Fwww.webofscience.com%2Fwos%2Fwoscc%2Ffull-record%2FWOS:000246649100011","View Full Record in Web of Science")</f>
        <v>View Full Record in Web of Science</v>
      </c>
    </row>
    <row r="428" spans="1:72" x14ac:dyDescent="0.15">
      <c r="A428" t="s">
        <v>72</v>
      </c>
      <c r="B428" t="s">
        <v>7054</v>
      </c>
      <c r="C428" t="s">
        <v>74</v>
      </c>
      <c r="D428" t="s">
        <v>74</v>
      </c>
      <c r="E428" t="s">
        <v>74</v>
      </c>
      <c r="F428" t="s">
        <v>7055</v>
      </c>
      <c r="G428" t="s">
        <v>74</v>
      </c>
      <c r="H428" t="s">
        <v>74</v>
      </c>
      <c r="I428" t="s">
        <v>7056</v>
      </c>
      <c r="J428" t="s">
        <v>1217</v>
      </c>
      <c r="K428" t="s">
        <v>74</v>
      </c>
      <c r="L428" t="s">
        <v>74</v>
      </c>
      <c r="M428" t="s">
        <v>78</v>
      </c>
      <c r="N428" t="s">
        <v>79</v>
      </c>
      <c r="O428" t="s">
        <v>74</v>
      </c>
      <c r="P428" t="s">
        <v>74</v>
      </c>
      <c r="Q428" t="s">
        <v>74</v>
      </c>
      <c r="R428" t="s">
        <v>74</v>
      </c>
      <c r="S428" t="s">
        <v>74</v>
      </c>
      <c r="T428" t="s">
        <v>74</v>
      </c>
      <c r="U428" t="s">
        <v>7057</v>
      </c>
      <c r="V428" t="s">
        <v>7058</v>
      </c>
      <c r="W428" t="s">
        <v>7059</v>
      </c>
      <c r="X428" t="s">
        <v>2144</v>
      </c>
      <c r="Y428" t="s">
        <v>7060</v>
      </c>
      <c r="Z428" t="s">
        <v>7061</v>
      </c>
      <c r="AA428" t="s">
        <v>74</v>
      </c>
      <c r="AB428" t="s">
        <v>74</v>
      </c>
      <c r="AC428" t="s">
        <v>74</v>
      </c>
      <c r="AD428" t="s">
        <v>74</v>
      </c>
      <c r="AE428" t="s">
        <v>74</v>
      </c>
      <c r="AF428" t="s">
        <v>74</v>
      </c>
      <c r="AG428">
        <v>53</v>
      </c>
      <c r="AH428">
        <v>55</v>
      </c>
      <c r="AI428">
        <v>61</v>
      </c>
      <c r="AJ428">
        <v>0</v>
      </c>
      <c r="AK428">
        <v>19</v>
      </c>
      <c r="AL428" t="s">
        <v>1225</v>
      </c>
      <c r="AM428" t="s">
        <v>1226</v>
      </c>
      <c r="AN428" t="s">
        <v>1227</v>
      </c>
      <c r="AO428" t="s">
        <v>1228</v>
      </c>
      <c r="AP428" t="s">
        <v>1229</v>
      </c>
      <c r="AQ428" t="s">
        <v>74</v>
      </c>
      <c r="AR428" t="s">
        <v>1230</v>
      </c>
      <c r="AS428" t="s">
        <v>1231</v>
      </c>
      <c r="AT428" t="s">
        <v>6858</v>
      </c>
      <c r="AU428">
        <v>2007</v>
      </c>
      <c r="AV428">
        <v>39</v>
      </c>
      <c r="AW428">
        <v>2</v>
      </c>
      <c r="AX428" t="s">
        <v>74</v>
      </c>
      <c r="AY428" t="s">
        <v>74</v>
      </c>
      <c r="AZ428" t="s">
        <v>74</v>
      </c>
      <c r="BA428" t="s">
        <v>74</v>
      </c>
      <c r="BB428">
        <v>297</v>
      </c>
      <c r="BC428">
        <v>308</v>
      </c>
      <c r="BD428" t="s">
        <v>74</v>
      </c>
      <c r="BE428" t="s">
        <v>7062</v>
      </c>
      <c r="BF428" t="str">
        <f>HYPERLINK("http://dx.doi.org/10.1657/1523-0430(2007)39[297:DOASAM]2.0.CO;2","http://dx.doi.org/10.1657/1523-0430(2007)39[297:DOASAM]2.0.CO;2")</f>
        <v>http://dx.doi.org/10.1657/1523-0430(2007)39[297:DOASAM]2.0.CO;2</v>
      </c>
      <c r="BG428" t="s">
        <v>74</v>
      </c>
      <c r="BH428" t="s">
        <v>74</v>
      </c>
      <c r="BI428">
        <v>12</v>
      </c>
      <c r="BJ428" t="s">
        <v>1233</v>
      </c>
      <c r="BK428" t="s">
        <v>98</v>
      </c>
      <c r="BL428" t="s">
        <v>1234</v>
      </c>
      <c r="BM428" t="s">
        <v>6928</v>
      </c>
      <c r="BN428" t="s">
        <v>74</v>
      </c>
      <c r="BO428" t="s">
        <v>1249</v>
      </c>
      <c r="BP428" t="s">
        <v>74</v>
      </c>
      <c r="BQ428" t="s">
        <v>74</v>
      </c>
      <c r="BR428" t="s">
        <v>101</v>
      </c>
      <c r="BS428" t="s">
        <v>7063</v>
      </c>
      <c r="BT428" t="str">
        <f>HYPERLINK("https%3A%2F%2Fwww.webofscience.com%2Fwos%2Fwoscc%2Ffull-record%2FWOS:000246649100012","View Full Record in Web of Science")</f>
        <v>View Full Record in Web of Science</v>
      </c>
    </row>
    <row r="429" spans="1:72" x14ac:dyDescent="0.15">
      <c r="A429" t="s">
        <v>72</v>
      </c>
      <c r="B429" t="s">
        <v>7064</v>
      </c>
      <c r="C429" t="s">
        <v>74</v>
      </c>
      <c r="D429" t="s">
        <v>74</v>
      </c>
      <c r="E429" t="s">
        <v>74</v>
      </c>
      <c r="F429" t="s">
        <v>7065</v>
      </c>
      <c r="G429" t="s">
        <v>74</v>
      </c>
      <c r="H429" t="s">
        <v>74</v>
      </c>
      <c r="I429" t="s">
        <v>7066</v>
      </c>
      <c r="J429" t="s">
        <v>1217</v>
      </c>
      <c r="K429" t="s">
        <v>74</v>
      </c>
      <c r="L429" t="s">
        <v>74</v>
      </c>
      <c r="M429" t="s">
        <v>78</v>
      </c>
      <c r="N429" t="s">
        <v>79</v>
      </c>
      <c r="O429" t="s">
        <v>74</v>
      </c>
      <c r="P429" t="s">
        <v>74</v>
      </c>
      <c r="Q429" t="s">
        <v>74</v>
      </c>
      <c r="R429" t="s">
        <v>74</v>
      </c>
      <c r="S429" t="s">
        <v>74</v>
      </c>
      <c r="T429" t="s">
        <v>74</v>
      </c>
      <c r="U429" t="s">
        <v>7067</v>
      </c>
      <c r="V429" t="s">
        <v>7068</v>
      </c>
      <c r="W429" t="s">
        <v>7069</v>
      </c>
      <c r="X429" t="s">
        <v>7070</v>
      </c>
      <c r="Y429" t="s">
        <v>7071</v>
      </c>
      <c r="Z429" t="s">
        <v>7072</v>
      </c>
      <c r="AA429" t="s">
        <v>7073</v>
      </c>
      <c r="AB429" t="s">
        <v>7074</v>
      </c>
      <c r="AC429" t="s">
        <v>74</v>
      </c>
      <c r="AD429" t="s">
        <v>74</v>
      </c>
      <c r="AE429" t="s">
        <v>74</v>
      </c>
      <c r="AF429" t="s">
        <v>74</v>
      </c>
      <c r="AG429">
        <v>75</v>
      </c>
      <c r="AH429">
        <v>9</v>
      </c>
      <c r="AI429">
        <v>10</v>
      </c>
      <c r="AJ429">
        <v>0</v>
      </c>
      <c r="AK429">
        <v>9</v>
      </c>
      <c r="AL429" t="s">
        <v>1262</v>
      </c>
      <c r="AM429" t="s">
        <v>1263</v>
      </c>
      <c r="AN429" t="s">
        <v>1264</v>
      </c>
      <c r="AO429" t="s">
        <v>1228</v>
      </c>
      <c r="AP429" t="s">
        <v>74</v>
      </c>
      <c r="AQ429" t="s">
        <v>74</v>
      </c>
      <c r="AR429" t="s">
        <v>1230</v>
      </c>
      <c r="AS429" t="s">
        <v>1231</v>
      </c>
      <c r="AT429" t="s">
        <v>6858</v>
      </c>
      <c r="AU429">
        <v>2007</v>
      </c>
      <c r="AV429">
        <v>39</v>
      </c>
      <c r="AW429">
        <v>2</v>
      </c>
      <c r="AX429" t="s">
        <v>74</v>
      </c>
      <c r="AY429" t="s">
        <v>74</v>
      </c>
      <c r="AZ429" t="s">
        <v>74</v>
      </c>
      <c r="BA429" t="s">
        <v>74</v>
      </c>
      <c r="BB429">
        <v>309</v>
      </c>
      <c r="BC429">
        <v>317</v>
      </c>
      <c r="BD429" t="s">
        <v>74</v>
      </c>
      <c r="BE429" t="s">
        <v>7075</v>
      </c>
      <c r="BF429" t="str">
        <f>HYPERLINK("http://dx.doi.org/10.1657/1523-0430(2007)39[309:FRBHAH]2.0.CO;2","http://dx.doi.org/10.1657/1523-0430(2007)39[309:FRBHAH]2.0.CO;2")</f>
        <v>http://dx.doi.org/10.1657/1523-0430(2007)39[309:FRBHAH]2.0.CO;2</v>
      </c>
      <c r="BG429" t="s">
        <v>74</v>
      </c>
      <c r="BH429" t="s">
        <v>74</v>
      </c>
      <c r="BI429">
        <v>9</v>
      </c>
      <c r="BJ429" t="s">
        <v>1233</v>
      </c>
      <c r="BK429" t="s">
        <v>98</v>
      </c>
      <c r="BL429" t="s">
        <v>1234</v>
      </c>
      <c r="BM429" t="s">
        <v>6928</v>
      </c>
      <c r="BN429" t="s">
        <v>74</v>
      </c>
      <c r="BO429" t="s">
        <v>1249</v>
      </c>
      <c r="BP429" t="s">
        <v>74</v>
      </c>
      <c r="BQ429" t="s">
        <v>74</v>
      </c>
      <c r="BR429" t="s">
        <v>101</v>
      </c>
      <c r="BS429" t="s">
        <v>7076</v>
      </c>
      <c r="BT429" t="str">
        <f>HYPERLINK("https%3A%2F%2Fwww.webofscience.com%2Fwos%2Fwoscc%2Ffull-record%2FWOS:000246649100013","View Full Record in Web of Science")</f>
        <v>View Full Record in Web of Science</v>
      </c>
    </row>
    <row r="430" spans="1:72" x14ac:dyDescent="0.15">
      <c r="A430" t="s">
        <v>72</v>
      </c>
      <c r="B430" t="s">
        <v>7077</v>
      </c>
      <c r="C430" t="s">
        <v>74</v>
      </c>
      <c r="D430" t="s">
        <v>74</v>
      </c>
      <c r="E430" t="s">
        <v>74</v>
      </c>
      <c r="F430" t="s">
        <v>7078</v>
      </c>
      <c r="G430" t="s">
        <v>74</v>
      </c>
      <c r="H430" t="s">
        <v>74</v>
      </c>
      <c r="I430" t="s">
        <v>7079</v>
      </c>
      <c r="J430" t="s">
        <v>1217</v>
      </c>
      <c r="K430" t="s">
        <v>74</v>
      </c>
      <c r="L430" t="s">
        <v>74</v>
      </c>
      <c r="M430" t="s">
        <v>78</v>
      </c>
      <c r="N430" t="s">
        <v>79</v>
      </c>
      <c r="O430" t="s">
        <v>74</v>
      </c>
      <c r="P430" t="s">
        <v>74</v>
      </c>
      <c r="Q430" t="s">
        <v>74</v>
      </c>
      <c r="R430" t="s">
        <v>74</v>
      </c>
      <c r="S430" t="s">
        <v>74</v>
      </c>
      <c r="T430" t="s">
        <v>74</v>
      </c>
      <c r="U430" t="s">
        <v>7080</v>
      </c>
      <c r="V430" t="s">
        <v>7081</v>
      </c>
      <c r="W430" t="s">
        <v>7082</v>
      </c>
      <c r="X430" t="s">
        <v>7083</v>
      </c>
      <c r="Y430" t="s">
        <v>7084</v>
      </c>
      <c r="Z430" t="s">
        <v>7085</v>
      </c>
      <c r="AA430" t="s">
        <v>7086</v>
      </c>
      <c r="AB430" t="s">
        <v>7087</v>
      </c>
      <c r="AC430" t="s">
        <v>74</v>
      </c>
      <c r="AD430" t="s">
        <v>74</v>
      </c>
      <c r="AE430" t="s">
        <v>74</v>
      </c>
      <c r="AF430" t="s">
        <v>74</v>
      </c>
      <c r="AG430">
        <v>73</v>
      </c>
      <c r="AH430">
        <v>46</v>
      </c>
      <c r="AI430">
        <v>59</v>
      </c>
      <c r="AJ430">
        <v>1</v>
      </c>
      <c r="AK430">
        <v>29</v>
      </c>
      <c r="AL430" t="s">
        <v>1225</v>
      </c>
      <c r="AM430" t="s">
        <v>1226</v>
      </c>
      <c r="AN430" t="s">
        <v>1227</v>
      </c>
      <c r="AO430" t="s">
        <v>1228</v>
      </c>
      <c r="AP430" t="s">
        <v>1229</v>
      </c>
      <c r="AQ430" t="s">
        <v>74</v>
      </c>
      <c r="AR430" t="s">
        <v>1230</v>
      </c>
      <c r="AS430" t="s">
        <v>1231</v>
      </c>
      <c r="AT430" t="s">
        <v>6858</v>
      </c>
      <c r="AU430">
        <v>2007</v>
      </c>
      <c r="AV430">
        <v>39</v>
      </c>
      <c r="AW430">
        <v>2</v>
      </c>
      <c r="AX430" t="s">
        <v>74</v>
      </c>
      <c r="AY430" t="s">
        <v>74</v>
      </c>
      <c r="AZ430" t="s">
        <v>74</v>
      </c>
      <c r="BA430" t="s">
        <v>74</v>
      </c>
      <c r="BB430">
        <v>318</v>
      </c>
      <c r="BC430">
        <v>331</v>
      </c>
      <c r="BD430" t="s">
        <v>74</v>
      </c>
      <c r="BE430" t="s">
        <v>7088</v>
      </c>
      <c r="BF430" t="str">
        <f>HYPERLINK("http://dx.doi.org/10.1657/1523-0430(2007)39[318:SCICOE]2.0.CO;2","http://dx.doi.org/10.1657/1523-0430(2007)39[318:SCICOE]2.0.CO;2")</f>
        <v>http://dx.doi.org/10.1657/1523-0430(2007)39[318:SCICOE]2.0.CO;2</v>
      </c>
      <c r="BG430" t="s">
        <v>74</v>
      </c>
      <c r="BH430" t="s">
        <v>74</v>
      </c>
      <c r="BI430">
        <v>14</v>
      </c>
      <c r="BJ430" t="s">
        <v>1233</v>
      </c>
      <c r="BK430" t="s">
        <v>98</v>
      </c>
      <c r="BL430" t="s">
        <v>1234</v>
      </c>
      <c r="BM430" t="s">
        <v>6928</v>
      </c>
      <c r="BN430" t="s">
        <v>74</v>
      </c>
      <c r="BO430" t="s">
        <v>1289</v>
      </c>
      <c r="BP430" t="s">
        <v>74</v>
      </c>
      <c r="BQ430" t="s">
        <v>74</v>
      </c>
      <c r="BR430" t="s">
        <v>101</v>
      </c>
      <c r="BS430" t="s">
        <v>7089</v>
      </c>
      <c r="BT430" t="str">
        <f>HYPERLINK("https%3A%2F%2Fwww.webofscience.com%2Fwos%2Fwoscc%2Ffull-record%2FWOS:000246649100014","View Full Record in Web of Science")</f>
        <v>View Full Record in Web of Science</v>
      </c>
    </row>
    <row r="431" spans="1:72" x14ac:dyDescent="0.15">
      <c r="A431" t="s">
        <v>72</v>
      </c>
      <c r="B431" t="s">
        <v>7090</v>
      </c>
      <c r="C431" t="s">
        <v>74</v>
      </c>
      <c r="D431" t="s">
        <v>74</v>
      </c>
      <c r="E431" t="s">
        <v>74</v>
      </c>
      <c r="F431" t="s">
        <v>7091</v>
      </c>
      <c r="G431" t="s">
        <v>74</v>
      </c>
      <c r="H431" t="s">
        <v>74</v>
      </c>
      <c r="I431" t="s">
        <v>7092</v>
      </c>
      <c r="J431" t="s">
        <v>1217</v>
      </c>
      <c r="K431" t="s">
        <v>74</v>
      </c>
      <c r="L431" t="s">
        <v>74</v>
      </c>
      <c r="M431" t="s">
        <v>78</v>
      </c>
      <c r="N431" t="s">
        <v>79</v>
      </c>
      <c r="O431" t="s">
        <v>74</v>
      </c>
      <c r="P431" t="s">
        <v>74</v>
      </c>
      <c r="Q431" t="s">
        <v>74</v>
      </c>
      <c r="R431" t="s">
        <v>74</v>
      </c>
      <c r="S431" t="s">
        <v>74</v>
      </c>
      <c r="T431" t="s">
        <v>74</v>
      </c>
      <c r="U431" t="s">
        <v>74</v>
      </c>
      <c r="V431" t="s">
        <v>7093</v>
      </c>
      <c r="W431" t="s">
        <v>7094</v>
      </c>
      <c r="X431" t="s">
        <v>7095</v>
      </c>
      <c r="Y431" t="s">
        <v>7096</v>
      </c>
      <c r="Z431" t="s">
        <v>7097</v>
      </c>
      <c r="AA431" t="s">
        <v>7098</v>
      </c>
      <c r="AB431" t="s">
        <v>74</v>
      </c>
      <c r="AC431" t="s">
        <v>74</v>
      </c>
      <c r="AD431" t="s">
        <v>74</v>
      </c>
      <c r="AE431" t="s">
        <v>74</v>
      </c>
      <c r="AF431" t="s">
        <v>74</v>
      </c>
      <c r="AG431">
        <v>13</v>
      </c>
      <c r="AH431">
        <v>7</v>
      </c>
      <c r="AI431">
        <v>7</v>
      </c>
      <c r="AJ431">
        <v>1</v>
      </c>
      <c r="AK431">
        <v>11</v>
      </c>
      <c r="AL431" t="s">
        <v>1262</v>
      </c>
      <c r="AM431" t="s">
        <v>1263</v>
      </c>
      <c r="AN431" t="s">
        <v>1264</v>
      </c>
      <c r="AO431" t="s">
        <v>1228</v>
      </c>
      <c r="AP431" t="s">
        <v>1229</v>
      </c>
      <c r="AQ431" t="s">
        <v>74</v>
      </c>
      <c r="AR431" t="s">
        <v>1230</v>
      </c>
      <c r="AS431" t="s">
        <v>1231</v>
      </c>
      <c r="AT431" t="s">
        <v>6858</v>
      </c>
      <c r="AU431">
        <v>2007</v>
      </c>
      <c r="AV431">
        <v>39</v>
      </c>
      <c r="AW431">
        <v>2</v>
      </c>
      <c r="AX431" t="s">
        <v>74</v>
      </c>
      <c r="AY431" t="s">
        <v>74</v>
      </c>
      <c r="AZ431" t="s">
        <v>74</v>
      </c>
      <c r="BA431" t="s">
        <v>74</v>
      </c>
      <c r="BB431">
        <v>332</v>
      </c>
      <c r="BC431">
        <v>339</v>
      </c>
      <c r="BD431" t="s">
        <v>74</v>
      </c>
      <c r="BE431" t="s">
        <v>7099</v>
      </c>
      <c r="BF431" t="str">
        <f>HYPERLINK("http://dx.doi.org/10.1657/1523-0430(2007)39[332:IODCOO]2.0.CO;2","http://dx.doi.org/10.1657/1523-0430(2007)39[332:IODCOO]2.0.CO;2")</f>
        <v>http://dx.doi.org/10.1657/1523-0430(2007)39[332:IODCOO]2.0.CO;2</v>
      </c>
      <c r="BG431" t="s">
        <v>74</v>
      </c>
      <c r="BH431" t="s">
        <v>74</v>
      </c>
      <c r="BI431">
        <v>8</v>
      </c>
      <c r="BJ431" t="s">
        <v>1233</v>
      </c>
      <c r="BK431" t="s">
        <v>98</v>
      </c>
      <c r="BL431" t="s">
        <v>1234</v>
      </c>
      <c r="BM431" t="s">
        <v>6928</v>
      </c>
      <c r="BN431" t="s">
        <v>74</v>
      </c>
      <c r="BO431" t="s">
        <v>1249</v>
      </c>
      <c r="BP431" t="s">
        <v>74</v>
      </c>
      <c r="BQ431" t="s">
        <v>74</v>
      </c>
      <c r="BR431" t="s">
        <v>101</v>
      </c>
      <c r="BS431" t="s">
        <v>7100</v>
      </c>
      <c r="BT431" t="str">
        <f>HYPERLINK("https%3A%2F%2Fwww.webofscience.com%2Fwos%2Fwoscc%2Ffull-record%2FWOS:000246649100015","View Full Record in Web of Science")</f>
        <v>View Full Record in Web of Science</v>
      </c>
    </row>
    <row r="432" spans="1:72" x14ac:dyDescent="0.15">
      <c r="A432" t="s">
        <v>72</v>
      </c>
      <c r="B432" t="s">
        <v>7101</v>
      </c>
      <c r="C432" t="s">
        <v>74</v>
      </c>
      <c r="D432" t="s">
        <v>74</v>
      </c>
      <c r="E432" t="s">
        <v>74</v>
      </c>
      <c r="F432" t="s">
        <v>7102</v>
      </c>
      <c r="G432" t="s">
        <v>74</v>
      </c>
      <c r="H432" t="s">
        <v>74</v>
      </c>
      <c r="I432" t="s">
        <v>7103</v>
      </c>
      <c r="J432" t="s">
        <v>1217</v>
      </c>
      <c r="K432" t="s">
        <v>74</v>
      </c>
      <c r="L432" t="s">
        <v>74</v>
      </c>
      <c r="M432" t="s">
        <v>78</v>
      </c>
      <c r="N432" t="s">
        <v>79</v>
      </c>
      <c r="O432" t="s">
        <v>74</v>
      </c>
      <c r="P432" t="s">
        <v>74</v>
      </c>
      <c r="Q432" t="s">
        <v>74</v>
      </c>
      <c r="R432" t="s">
        <v>74</v>
      </c>
      <c r="S432" t="s">
        <v>74</v>
      </c>
      <c r="T432" t="s">
        <v>74</v>
      </c>
      <c r="U432" t="s">
        <v>74</v>
      </c>
      <c r="V432" t="s">
        <v>74</v>
      </c>
      <c r="W432" t="s">
        <v>7104</v>
      </c>
      <c r="X432" t="s">
        <v>7105</v>
      </c>
      <c r="Y432" t="s">
        <v>7106</v>
      </c>
      <c r="Z432" t="s">
        <v>7107</v>
      </c>
      <c r="AA432" t="s">
        <v>7108</v>
      </c>
      <c r="AB432" t="s">
        <v>7109</v>
      </c>
      <c r="AC432" t="s">
        <v>74</v>
      </c>
      <c r="AD432" t="s">
        <v>74</v>
      </c>
      <c r="AE432" t="s">
        <v>74</v>
      </c>
      <c r="AF432" t="s">
        <v>74</v>
      </c>
      <c r="AG432">
        <v>20</v>
      </c>
      <c r="AH432">
        <v>2</v>
      </c>
      <c r="AI432">
        <v>5</v>
      </c>
      <c r="AJ432">
        <v>0</v>
      </c>
      <c r="AK432">
        <v>8</v>
      </c>
      <c r="AL432" t="s">
        <v>1262</v>
      </c>
      <c r="AM432" t="s">
        <v>1263</v>
      </c>
      <c r="AN432" t="s">
        <v>1264</v>
      </c>
      <c r="AO432" t="s">
        <v>1228</v>
      </c>
      <c r="AP432" t="s">
        <v>1229</v>
      </c>
      <c r="AQ432" t="s">
        <v>74</v>
      </c>
      <c r="AR432" t="s">
        <v>1230</v>
      </c>
      <c r="AS432" t="s">
        <v>1231</v>
      </c>
      <c r="AT432" t="s">
        <v>6858</v>
      </c>
      <c r="AU432">
        <v>2007</v>
      </c>
      <c r="AV432">
        <v>39</v>
      </c>
      <c r="AW432">
        <v>2</v>
      </c>
      <c r="AX432" t="s">
        <v>74</v>
      </c>
      <c r="AY432" t="s">
        <v>74</v>
      </c>
      <c r="AZ432" t="s">
        <v>74</v>
      </c>
      <c r="BA432" t="s">
        <v>74</v>
      </c>
      <c r="BB432">
        <v>340</v>
      </c>
      <c r="BC432">
        <v>341</v>
      </c>
      <c r="BD432" t="s">
        <v>74</v>
      </c>
      <c r="BE432" t="s">
        <v>7110</v>
      </c>
      <c r="BF432" t="str">
        <f>HYPERLINK("http://dx.doi.org/10.1657/1523-0430(2007)39[340:ROOAPO]2.0.CO;2","http://dx.doi.org/10.1657/1523-0430(2007)39[340:ROOAPO]2.0.CO;2")</f>
        <v>http://dx.doi.org/10.1657/1523-0430(2007)39[340:ROOAPO]2.0.CO;2</v>
      </c>
      <c r="BG432" t="s">
        <v>74</v>
      </c>
      <c r="BH432" t="s">
        <v>74</v>
      </c>
      <c r="BI432">
        <v>2</v>
      </c>
      <c r="BJ432" t="s">
        <v>1233</v>
      </c>
      <c r="BK432" t="s">
        <v>98</v>
      </c>
      <c r="BL432" t="s">
        <v>1234</v>
      </c>
      <c r="BM432" t="s">
        <v>6928</v>
      </c>
      <c r="BN432" t="s">
        <v>74</v>
      </c>
      <c r="BO432" t="s">
        <v>1249</v>
      </c>
      <c r="BP432" t="s">
        <v>74</v>
      </c>
      <c r="BQ432" t="s">
        <v>74</v>
      </c>
      <c r="BR432" t="s">
        <v>101</v>
      </c>
      <c r="BS432" t="s">
        <v>7111</v>
      </c>
      <c r="BT432" t="str">
        <f>HYPERLINK("https%3A%2F%2Fwww.webofscience.com%2Fwos%2Fwoscc%2Ffull-record%2FWOS:000246649100016","View Full Record in Web of Science")</f>
        <v>View Full Record in Web of Science</v>
      </c>
    </row>
    <row r="433" spans="1:72" x14ac:dyDescent="0.15">
      <c r="A433" t="s">
        <v>72</v>
      </c>
      <c r="B433" t="s">
        <v>7112</v>
      </c>
      <c r="C433" t="s">
        <v>74</v>
      </c>
      <c r="D433" t="s">
        <v>74</v>
      </c>
      <c r="E433" t="s">
        <v>74</v>
      </c>
      <c r="F433" t="s">
        <v>7113</v>
      </c>
      <c r="G433" t="s">
        <v>74</v>
      </c>
      <c r="H433" t="s">
        <v>74</v>
      </c>
      <c r="I433" t="s">
        <v>7114</v>
      </c>
      <c r="J433" t="s">
        <v>1217</v>
      </c>
      <c r="K433" t="s">
        <v>74</v>
      </c>
      <c r="L433" t="s">
        <v>74</v>
      </c>
      <c r="M433" t="s">
        <v>78</v>
      </c>
      <c r="N433" t="s">
        <v>79</v>
      </c>
      <c r="O433" t="s">
        <v>74</v>
      </c>
      <c r="P433" t="s">
        <v>74</v>
      </c>
      <c r="Q433" t="s">
        <v>74</v>
      </c>
      <c r="R433" t="s">
        <v>74</v>
      </c>
      <c r="S433" t="s">
        <v>74</v>
      </c>
      <c r="T433" t="s">
        <v>74</v>
      </c>
      <c r="U433" t="s">
        <v>74</v>
      </c>
      <c r="V433" t="s">
        <v>74</v>
      </c>
      <c r="W433" t="s">
        <v>7115</v>
      </c>
      <c r="X433" t="s">
        <v>7116</v>
      </c>
      <c r="Y433" t="s">
        <v>7117</v>
      </c>
      <c r="Z433" t="s">
        <v>7118</v>
      </c>
      <c r="AA433" t="s">
        <v>74</v>
      </c>
      <c r="AB433" t="s">
        <v>74</v>
      </c>
      <c r="AC433" t="s">
        <v>74</v>
      </c>
      <c r="AD433" t="s">
        <v>74</v>
      </c>
      <c r="AE433" t="s">
        <v>74</v>
      </c>
      <c r="AF433" t="s">
        <v>74</v>
      </c>
      <c r="AG433">
        <v>1</v>
      </c>
      <c r="AH433">
        <v>0</v>
      </c>
      <c r="AI433">
        <v>0</v>
      </c>
      <c r="AJ433">
        <v>0</v>
      </c>
      <c r="AK433">
        <v>5</v>
      </c>
      <c r="AL433" t="s">
        <v>1262</v>
      </c>
      <c r="AM433" t="s">
        <v>1263</v>
      </c>
      <c r="AN433" t="s">
        <v>1264</v>
      </c>
      <c r="AO433" t="s">
        <v>1228</v>
      </c>
      <c r="AP433" t="s">
        <v>74</v>
      </c>
      <c r="AQ433" t="s">
        <v>74</v>
      </c>
      <c r="AR433" t="s">
        <v>1230</v>
      </c>
      <c r="AS433" t="s">
        <v>1231</v>
      </c>
      <c r="AT433" t="s">
        <v>6858</v>
      </c>
      <c r="AU433">
        <v>2007</v>
      </c>
      <c r="AV433">
        <v>39</v>
      </c>
      <c r="AW433">
        <v>2</v>
      </c>
      <c r="AX433" t="s">
        <v>74</v>
      </c>
      <c r="AY433" t="s">
        <v>74</v>
      </c>
      <c r="AZ433" t="s">
        <v>74</v>
      </c>
      <c r="BA433" t="s">
        <v>74</v>
      </c>
      <c r="BB433">
        <v>342</v>
      </c>
      <c r="BC433">
        <v>342</v>
      </c>
      <c r="BD433" t="s">
        <v>74</v>
      </c>
      <c r="BE433" t="s">
        <v>7119</v>
      </c>
      <c r="BF433" t="str">
        <f>HYPERLINK("http://dx.doi.org/10.1657/1523-0430(2007)39[342:ROOAPO]2.0.CO;2","http://dx.doi.org/10.1657/1523-0430(2007)39[342:ROOAPO]2.0.CO;2")</f>
        <v>http://dx.doi.org/10.1657/1523-0430(2007)39[342:ROOAPO]2.0.CO;2</v>
      </c>
      <c r="BG433" t="s">
        <v>74</v>
      </c>
      <c r="BH433" t="s">
        <v>74</v>
      </c>
      <c r="BI433">
        <v>1</v>
      </c>
      <c r="BJ433" t="s">
        <v>1233</v>
      </c>
      <c r="BK433" t="s">
        <v>98</v>
      </c>
      <c r="BL433" t="s">
        <v>1234</v>
      </c>
      <c r="BM433" t="s">
        <v>6928</v>
      </c>
      <c r="BN433" t="s">
        <v>74</v>
      </c>
      <c r="BO433" t="s">
        <v>1249</v>
      </c>
      <c r="BP433" t="s">
        <v>74</v>
      </c>
      <c r="BQ433" t="s">
        <v>74</v>
      </c>
      <c r="BR433" t="s">
        <v>101</v>
      </c>
      <c r="BS433" t="s">
        <v>7120</v>
      </c>
      <c r="BT433" t="str">
        <f>HYPERLINK("https%3A%2F%2Fwww.webofscience.com%2Fwos%2Fwoscc%2Ffull-record%2FWOS:000246649100017","View Full Record in Web of Science")</f>
        <v>View Full Record in Web of Science</v>
      </c>
    </row>
    <row r="434" spans="1:72" x14ac:dyDescent="0.15">
      <c r="A434" t="s">
        <v>72</v>
      </c>
      <c r="B434" t="s">
        <v>7121</v>
      </c>
      <c r="C434" t="s">
        <v>74</v>
      </c>
      <c r="D434" t="s">
        <v>74</v>
      </c>
      <c r="E434" t="s">
        <v>74</v>
      </c>
      <c r="F434" t="s">
        <v>7122</v>
      </c>
      <c r="G434" t="s">
        <v>74</v>
      </c>
      <c r="H434" t="s">
        <v>74</v>
      </c>
      <c r="I434" t="s">
        <v>7123</v>
      </c>
      <c r="J434" t="s">
        <v>5162</v>
      </c>
      <c r="K434" t="s">
        <v>74</v>
      </c>
      <c r="L434" t="s">
        <v>74</v>
      </c>
      <c r="M434" t="s">
        <v>78</v>
      </c>
      <c r="N434" t="s">
        <v>620</v>
      </c>
      <c r="O434" t="s">
        <v>74</v>
      </c>
      <c r="P434" t="s">
        <v>74</v>
      </c>
      <c r="Q434" t="s">
        <v>74</v>
      </c>
      <c r="R434" t="s">
        <v>74</v>
      </c>
      <c r="S434" t="s">
        <v>74</v>
      </c>
      <c r="T434" t="s">
        <v>74</v>
      </c>
      <c r="U434" t="s">
        <v>74</v>
      </c>
      <c r="V434" t="s">
        <v>74</v>
      </c>
      <c r="W434" t="s">
        <v>7124</v>
      </c>
      <c r="X434" t="s">
        <v>7125</v>
      </c>
      <c r="Y434" t="s">
        <v>7126</v>
      </c>
      <c r="Z434" t="s">
        <v>7127</v>
      </c>
      <c r="AA434" t="s">
        <v>7128</v>
      </c>
      <c r="AB434" t="s">
        <v>74</v>
      </c>
      <c r="AC434" t="s">
        <v>3050</v>
      </c>
      <c r="AD434" t="s">
        <v>361</v>
      </c>
      <c r="AE434" t="s">
        <v>74</v>
      </c>
      <c r="AF434" t="s">
        <v>74</v>
      </c>
      <c r="AG434">
        <v>1</v>
      </c>
      <c r="AH434">
        <v>0</v>
      </c>
      <c r="AI434">
        <v>0</v>
      </c>
      <c r="AJ434">
        <v>0</v>
      </c>
      <c r="AK434">
        <v>4</v>
      </c>
      <c r="AL434" t="s">
        <v>567</v>
      </c>
      <c r="AM434" t="s">
        <v>568</v>
      </c>
      <c r="AN434" t="s">
        <v>569</v>
      </c>
      <c r="AO434" t="s">
        <v>5167</v>
      </c>
      <c r="AP434" t="s">
        <v>74</v>
      </c>
      <c r="AQ434" t="s">
        <v>74</v>
      </c>
      <c r="AR434" t="s">
        <v>5169</v>
      </c>
      <c r="AS434" t="s">
        <v>5170</v>
      </c>
      <c r="AT434" t="s">
        <v>6858</v>
      </c>
      <c r="AU434">
        <v>2007</v>
      </c>
      <c r="AV434">
        <v>88</v>
      </c>
      <c r="AW434">
        <v>5</v>
      </c>
      <c r="AX434" t="s">
        <v>74</v>
      </c>
      <c r="AY434" t="s">
        <v>74</v>
      </c>
      <c r="AZ434" t="s">
        <v>74</v>
      </c>
      <c r="BA434" t="s">
        <v>74</v>
      </c>
      <c r="BB434">
        <v>721</v>
      </c>
      <c r="BC434">
        <v>723</v>
      </c>
      <c r="BD434" t="s">
        <v>74</v>
      </c>
      <c r="BE434" t="s">
        <v>7129</v>
      </c>
      <c r="BF434" t="str">
        <f>HYPERLINK("http://dx.doi.org/10.1175/BAMS-88-5-721","http://dx.doi.org/10.1175/BAMS-88-5-721")</f>
        <v>http://dx.doi.org/10.1175/BAMS-88-5-721</v>
      </c>
      <c r="BG434" t="s">
        <v>74</v>
      </c>
      <c r="BH434" t="s">
        <v>74</v>
      </c>
      <c r="BI434">
        <v>3</v>
      </c>
      <c r="BJ434" t="s">
        <v>435</v>
      </c>
      <c r="BK434" t="s">
        <v>98</v>
      </c>
      <c r="BL434" t="s">
        <v>435</v>
      </c>
      <c r="BM434" t="s">
        <v>7130</v>
      </c>
      <c r="BN434" t="s">
        <v>74</v>
      </c>
      <c r="BO434" t="s">
        <v>223</v>
      </c>
      <c r="BP434" t="s">
        <v>74</v>
      </c>
      <c r="BQ434" t="s">
        <v>74</v>
      </c>
      <c r="BR434" t="s">
        <v>101</v>
      </c>
      <c r="BS434" t="s">
        <v>7131</v>
      </c>
      <c r="BT434" t="str">
        <f>HYPERLINK("https%3A%2F%2Fwww.webofscience.com%2Fwos%2Fwoscc%2Ffull-record%2FWOS:000246990600020","View Full Record in Web of Science")</f>
        <v>View Full Record in Web of Science</v>
      </c>
    </row>
    <row r="435" spans="1:72" x14ac:dyDescent="0.15">
      <c r="A435" t="s">
        <v>72</v>
      </c>
      <c r="B435" t="s">
        <v>7132</v>
      </c>
      <c r="C435" t="s">
        <v>74</v>
      </c>
      <c r="D435" t="s">
        <v>74</v>
      </c>
      <c r="E435" t="s">
        <v>74</v>
      </c>
      <c r="F435" t="s">
        <v>7133</v>
      </c>
      <c r="G435" t="s">
        <v>74</v>
      </c>
      <c r="H435" t="s">
        <v>74</v>
      </c>
      <c r="I435" t="s">
        <v>7134</v>
      </c>
      <c r="J435" t="s">
        <v>7135</v>
      </c>
      <c r="K435" t="s">
        <v>74</v>
      </c>
      <c r="L435" t="s">
        <v>74</v>
      </c>
      <c r="M435" t="s">
        <v>78</v>
      </c>
      <c r="N435" t="s">
        <v>79</v>
      </c>
      <c r="O435" t="s">
        <v>74</v>
      </c>
      <c r="P435" t="s">
        <v>74</v>
      </c>
      <c r="Q435" t="s">
        <v>74</v>
      </c>
      <c r="R435" t="s">
        <v>74</v>
      </c>
      <c r="S435" t="s">
        <v>74</v>
      </c>
      <c r="T435" t="s">
        <v>7136</v>
      </c>
      <c r="U435" t="s">
        <v>7137</v>
      </c>
      <c r="V435" t="s">
        <v>7138</v>
      </c>
      <c r="W435" t="s">
        <v>7139</v>
      </c>
      <c r="X435" t="s">
        <v>7140</v>
      </c>
      <c r="Y435" t="s">
        <v>7141</v>
      </c>
      <c r="Z435" t="s">
        <v>7142</v>
      </c>
      <c r="AA435" t="s">
        <v>7143</v>
      </c>
      <c r="AB435" t="s">
        <v>7144</v>
      </c>
      <c r="AC435" t="s">
        <v>74</v>
      </c>
      <c r="AD435" t="s">
        <v>74</v>
      </c>
      <c r="AE435" t="s">
        <v>74</v>
      </c>
      <c r="AF435" t="s">
        <v>74</v>
      </c>
      <c r="AG435">
        <v>26</v>
      </c>
      <c r="AH435">
        <v>3</v>
      </c>
      <c r="AI435">
        <v>6</v>
      </c>
      <c r="AJ435">
        <v>0</v>
      </c>
      <c r="AK435">
        <v>25</v>
      </c>
      <c r="AL435" t="s">
        <v>7145</v>
      </c>
      <c r="AM435" t="s">
        <v>7146</v>
      </c>
      <c r="AN435" t="s">
        <v>7147</v>
      </c>
      <c r="AO435" t="s">
        <v>7148</v>
      </c>
      <c r="AP435" t="s">
        <v>7149</v>
      </c>
      <c r="AQ435" t="s">
        <v>74</v>
      </c>
      <c r="AR435" t="s">
        <v>7150</v>
      </c>
      <c r="AS435" t="s">
        <v>7151</v>
      </c>
      <c r="AT435" t="s">
        <v>6858</v>
      </c>
      <c r="AU435">
        <v>2007</v>
      </c>
      <c r="AV435">
        <v>53</v>
      </c>
      <c r="AW435">
        <v>5</v>
      </c>
      <c r="AX435" t="s">
        <v>74</v>
      </c>
      <c r="AY435" t="s">
        <v>74</v>
      </c>
      <c r="AZ435" t="s">
        <v>74</v>
      </c>
      <c r="BA435" t="s">
        <v>74</v>
      </c>
      <c r="BB435">
        <v>636</v>
      </c>
      <c r="BC435">
        <v>642</v>
      </c>
      <c r="BD435" t="s">
        <v>74</v>
      </c>
      <c r="BE435" t="s">
        <v>7152</v>
      </c>
      <c r="BF435" t="str">
        <f>HYPERLINK("http://dx.doi.org/10.1139/W07-014","http://dx.doi.org/10.1139/W07-014")</f>
        <v>http://dx.doi.org/10.1139/W07-014</v>
      </c>
      <c r="BG435" t="s">
        <v>74</v>
      </c>
      <c r="BH435" t="s">
        <v>74</v>
      </c>
      <c r="BI435">
        <v>7</v>
      </c>
      <c r="BJ435" t="s">
        <v>7153</v>
      </c>
      <c r="BK435" t="s">
        <v>98</v>
      </c>
      <c r="BL435" t="s">
        <v>7153</v>
      </c>
      <c r="BM435" t="s">
        <v>7154</v>
      </c>
      <c r="BN435">
        <v>17668022</v>
      </c>
      <c r="BO435" t="s">
        <v>74</v>
      </c>
      <c r="BP435" t="s">
        <v>74</v>
      </c>
      <c r="BQ435" t="s">
        <v>74</v>
      </c>
      <c r="BR435" t="s">
        <v>101</v>
      </c>
      <c r="BS435" t="s">
        <v>7155</v>
      </c>
      <c r="BT435" t="str">
        <f>HYPERLINK("https%3A%2F%2Fwww.webofscience.com%2Fwos%2Fwoscc%2Ffull-record%2FWOS:000248682500011","View Full Record in Web of Science")</f>
        <v>View Full Record in Web of Science</v>
      </c>
    </row>
    <row r="436" spans="1:72" x14ac:dyDescent="0.15">
      <c r="A436" t="s">
        <v>72</v>
      </c>
      <c r="B436" t="s">
        <v>7156</v>
      </c>
      <c r="C436" t="s">
        <v>74</v>
      </c>
      <c r="D436" t="s">
        <v>74</v>
      </c>
      <c r="E436" t="s">
        <v>74</v>
      </c>
      <c r="F436" t="s">
        <v>7157</v>
      </c>
      <c r="G436" t="s">
        <v>74</v>
      </c>
      <c r="H436" t="s">
        <v>74</v>
      </c>
      <c r="I436" t="s">
        <v>7158</v>
      </c>
      <c r="J436" t="s">
        <v>7159</v>
      </c>
      <c r="K436" t="s">
        <v>74</v>
      </c>
      <c r="L436" t="s">
        <v>74</v>
      </c>
      <c r="M436" t="s">
        <v>78</v>
      </c>
      <c r="N436" t="s">
        <v>79</v>
      </c>
      <c r="O436" t="s">
        <v>74</v>
      </c>
      <c r="P436" t="s">
        <v>74</v>
      </c>
      <c r="Q436" t="s">
        <v>74</v>
      </c>
      <c r="R436" t="s">
        <v>74</v>
      </c>
      <c r="S436" t="s">
        <v>74</v>
      </c>
      <c r="T436" t="s">
        <v>7160</v>
      </c>
      <c r="U436" t="s">
        <v>7161</v>
      </c>
      <c r="V436" t="s">
        <v>7162</v>
      </c>
      <c r="W436" t="s">
        <v>7163</v>
      </c>
      <c r="X436" t="s">
        <v>7164</v>
      </c>
      <c r="Y436" t="s">
        <v>7165</v>
      </c>
      <c r="Z436" t="s">
        <v>7166</v>
      </c>
      <c r="AA436" t="s">
        <v>7167</v>
      </c>
      <c r="AB436" t="s">
        <v>7168</v>
      </c>
      <c r="AC436" t="s">
        <v>74</v>
      </c>
      <c r="AD436" t="s">
        <v>74</v>
      </c>
      <c r="AE436" t="s">
        <v>74</v>
      </c>
      <c r="AF436" t="s">
        <v>74</v>
      </c>
      <c r="AG436">
        <v>14</v>
      </c>
      <c r="AH436">
        <v>13</v>
      </c>
      <c r="AI436">
        <v>13</v>
      </c>
      <c r="AJ436">
        <v>0</v>
      </c>
      <c r="AK436">
        <v>9</v>
      </c>
      <c r="AL436" t="s">
        <v>1503</v>
      </c>
      <c r="AM436" t="s">
        <v>1504</v>
      </c>
      <c r="AN436" t="s">
        <v>1505</v>
      </c>
      <c r="AO436" t="s">
        <v>7169</v>
      </c>
      <c r="AP436" t="s">
        <v>74</v>
      </c>
      <c r="AQ436" t="s">
        <v>74</v>
      </c>
      <c r="AR436" t="s">
        <v>7159</v>
      </c>
      <c r="AS436" t="s">
        <v>7170</v>
      </c>
      <c r="AT436" t="s">
        <v>6858</v>
      </c>
      <c r="AU436">
        <v>2007</v>
      </c>
      <c r="AV436">
        <v>67</v>
      </c>
      <c r="AW436">
        <v>10</v>
      </c>
      <c r="AX436" t="s">
        <v>74</v>
      </c>
      <c r="AY436" t="s">
        <v>74</v>
      </c>
      <c r="AZ436" t="s">
        <v>74</v>
      </c>
      <c r="BA436" t="s">
        <v>74</v>
      </c>
      <c r="BB436">
        <v>1897</v>
      </c>
      <c r="BC436">
        <v>1903</v>
      </c>
      <c r="BD436" t="s">
        <v>74</v>
      </c>
      <c r="BE436" t="s">
        <v>7171</v>
      </c>
      <c r="BF436" t="str">
        <f>HYPERLINK("http://dx.doi.org/10.1016/j.chemosphere.2006.12.050","http://dx.doi.org/10.1016/j.chemosphere.2006.12.050")</f>
        <v>http://dx.doi.org/10.1016/j.chemosphere.2006.12.050</v>
      </c>
      <c r="BG436" t="s">
        <v>74</v>
      </c>
      <c r="BH436" t="s">
        <v>74</v>
      </c>
      <c r="BI436">
        <v>7</v>
      </c>
      <c r="BJ436" t="s">
        <v>4372</v>
      </c>
      <c r="BK436" t="s">
        <v>98</v>
      </c>
      <c r="BL436" t="s">
        <v>911</v>
      </c>
      <c r="BM436" t="s">
        <v>7172</v>
      </c>
      <c r="BN436">
        <v>17287006</v>
      </c>
      <c r="BO436" t="s">
        <v>74</v>
      </c>
      <c r="BP436" t="s">
        <v>74</v>
      </c>
      <c r="BQ436" t="s">
        <v>74</v>
      </c>
      <c r="BR436" t="s">
        <v>101</v>
      </c>
      <c r="BS436" t="s">
        <v>7173</v>
      </c>
      <c r="BT436" t="str">
        <f>HYPERLINK("https%3A%2F%2Fwww.webofscience.com%2Fwos%2Fwoscc%2Ffull-record%2FWOS:000246290300001","View Full Record in Web of Science")</f>
        <v>View Full Record in Web of Science</v>
      </c>
    </row>
    <row r="437" spans="1:72" x14ac:dyDescent="0.15">
      <c r="A437" t="s">
        <v>72</v>
      </c>
      <c r="B437" t="s">
        <v>7174</v>
      </c>
      <c r="C437" t="s">
        <v>74</v>
      </c>
      <c r="D437" t="s">
        <v>74</v>
      </c>
      <c r="E437" t="s">
        <v>74</v>
      </c>
      <c r="F437" t="s">
        <v>7175</v>
      </c>
      <c r="G437" t="s">
        <v>74</v>
      </c>
      <c r="H437" t="s">
        <v>74</v>
      </c>
      <c r="I437" t="s">
        <v>7176</v>
      </c>
      <c r="J437" t="s">
        <v>7159</v>
      </c>
      <c r="K437" t="s">
        <v>74</v>
      </c>
      <c r="L437" t="s">
        <v>74</v>
      </c>
      <c r="M437" t="s">
        <v>78</v>
      </c>
      <c r="N437" t="s">
        <v>79</v>
      </c>
      <c r="O437" t="s">
        <v>74</v>
      </c>
      <c r="P437" t="s">
        <v>74</v>
      </c>
      <c r="Q437" t="s">
        <v>74</v>
      </c>
      <c r="R437" t="s">
        <v>74</v>
      </c>
      <c r="S437" t="s">
        <v>74</v>
      </c>
      <c r="T437" t="s">
        <v>7177</v>
      </c>
      <c r="U437" t="s">
        <v>7178</v>
      </c>
      <c r="V437" t="s">
        <v>7179</v>
      </c>
      <c r="W437" t="s">
        <v>7180</v>
      </c>
      <c r="X437" t="s">
        <v>7181</v>
      </c>
      <c r="Y437" t="s">
        <v>7182</v>
      </c>
      <c r="Z437" t="s">
        <v>7183</v>
      </c>
      <c r="AA437" t="s">
        <v>74</v>
      </c>
      <c r="AB437" t="s">
        <v>7184</v>
      </c>
      <c r="AC437" t="s">
        <v>74</v>
      </c>
      <c r="AD437" t="s">
        <v>74</v>
      </c>
      <c r="AE437" t="s">
        <v>74</v>
      </c>
      <c r="AF437" t="s">
        <v>74</v>
      </c>
      <c r="AG437">
        <v>32</v>
      </c>
      <c r="AH437">
        <v>18</v>
      </c>
      <c r="AI437">
        <v>18</v>
      </c>
      <c r="AJ437">
        <v>0</v>
      </c>
      <c r="AK437">
        <v>18</v>
      </c>
      <c r="AL437" t="s">
        <v>1503</v>
      </c>
      <c r="AM437" t="s">
        <v>1504</v>
      </c>
      <c r="AN437" t="s">
        <v>1505</v>
      </c>
      <c r="AO437" t="s">
        <v>7169</v>
      </c>
      <c r="AP437" t="s">
        <v>74</v>
      </c>
      <c r="AQ437" t="s">
        <v>74</v>
      </c>
      <c r="AR437" t="s">
        <v>7159</v>
      </c>
      <c r="AS437" t="s">
        <v>7170</v>
      </c>
      <c r="AT437" t="s">
        <v>6858</v>
      </c>
      <c r="AU437">
        <v>2007</v>
      </c>
      <c r="AV437">
        <v>67</v>
      </c>
      <c r="AW437">
        <v>10</v>
      </c>
      <c r="AX437" t="s">
        <v>74</v>
      </c>
      <c r="AY437" t="s">
        <v>74</v>
      </c>
      <c r="AZ437" t="s">
        <v>74</v>
      </c>
      <c r="BA437" t="s">
        <v>74</v>
      </c>
      <c r="BB437">
        <v>1967</v>
      </c>
      <c r="BC437">
        <v>1974</v>
      </c>
      <c r="BD437" t="s">
        <v>74</v>
      </c>
      <c r="BE437" t="s">
        <v>7185</v>
      </c>
      <c r="BF437" t="str">
        <f>HYPERLINK("http://dx.doi.org/10.1016/j.chemosphere.2006.11.059","http://dx.doi.org/10.1016/j.chemosphere.2006.11.059")</f>
        <v>http://dx.doi.org/10.1016/j.chemosphere.2006.11.059</v>
      </c>
      <c r="BG437" t="s">
        <v>74</v>
      </c>
      <c r="BH437" t="s">
        <v>74</v>
      </c>
      <c r="BI437">
        <v>8</v>
      </c>
      <c r="BJ437" t="s">
        <v>4372</v>
      </c>
      <c r="BK437" t="s">
        <v>98</v>
      </c>
      <c r="BL437" t="s">
        <v>911</v>
      </c>
      <c r="BM437" t="s">
        <v>7172</v>
      </c>
      <c r="BN437">
        <v>17250868</v>
      </c>
      <c r="BO437" t="s">
        <v>74</v>
      </c>
      <c r="BP437" t="s">
        <v>74</v>
      </c>
      <c r="BQ437" t="s">
        <v>74</v>
      </c>
      <c r="BR437" t="s">
        <v>101</v>
      </c>
      <c r="BS437" t="s">
        <v>7186</v>
      </c>
      <c r="BT437" t="str">
        <f>HYPERLINK("https%3A%2F%2Fwww.webofscience.com%2Fwos%2Fwoscc%2Ffull-record%2FWOS:000246290300010","View Full Record in Web of Science")</f>
        <v>View Full Record in Web of Science</v>
      </c>
    </row>
    <row r="438" spans="1:72" x14ac:dyDescent="0.15">
      <c r="A438" t="s">
        <v>72</v>
      </c>
      <c r="B438" t="s">
        <v>7187</v>
      </c>
      <c r="C438" t="s">
        <v>74</v>
      </c>
      <c r="D438" t="s">
        <v>74</v>
      </c>
      <c r="E438" t="s">
        <v>74</v>
      </c>
      <c r="F438" t="s">
        <v>7188</v>
      </c>
      <c r="G438" t="s">
        <v>74</v>
      </c>
      <c r="H438" t="s">
        <v>74</v>
      </c>
      <c r="I438" t="s">
        <v>7189</v>
      </c>
      <c r="J438" t="s">
        <v>7190</v>
      </c>
      <c r="K438" t="s">
        <v>74</v>
      </c>
      <c r="L438" t="s">
        <v>74</v>
      </c>
      <c r="M438" t="s">
        <v>78</v>
      </c>
      <c r="N438" t="s">
        <v>79</v>
      </c>
      <c r="O438" t="s">
        <v>74</v>
      </c>
      <c r="P438" t="s">
        <v>74</v>
      </c>
      <c r="Q438" t="s">
        <v>74</v>
      </c>
      <c r="R438" t="s">
        <v>74</v>
      </c>
      <c r="S438" t="s">
        <v>74</v>
      </c>
      <c r="T438" t="s">
        <v>74</v>
      </c>
      <c r="U438" t="s">
        <v>7191</v>
      </c>
      <c r="V438" t="s">
        <v>7192</v>
      </c>
      <c r="W438" t="s">
        <v>7193</v>
      </c>
      <c r="X438" t="s">
        <v>7194</v>
      </c>
      <c r="Y438" t="s">
        <v>7195</v>
      </c>
      <c r="Z438" t="s">
        <v>7196</v>
      </c>
      <c r="AA438" t="s">
        <v>7197</v>
      </c>
      <c r="AB438" t="s">
        <v>7198</v>
      </c>
      <c r="AC438" t="s">
        <v>74</v>
      </c>
      <c r="AD438" t="s">
        <v>74</v>
      </c>
      <c r="AE438" t="s">
        <v>74</v>
      </c>
      <c r="AF438" t="s">
        <v>74</v>
      </c>
      <c r="AG438">
        <v>91</v>
      </c>
      <c r="AH438">
        <v>79</v>
      </c>
      <c r="AI438">
        <v>82</v>
      </c>
      <c r="AJ438">
        <v>1</v>
      </c>
      <c r="AK438">
        <v>30</v>
      </c>
      <c r="AL438" t="s">
        <v>1592</v>
      </c>
      <c r="AM438" t="s">
        <v>1593</v>
      </c>
      <c r="AN438" t="s">
        <v>1594</v>
      </c>
      <c r="AO438" t="s">
        <v>7199</v>
      </c>
      <c r="AP438" t="s">
        <v>7200</v>
      </c>
      <c r="AQ438" t="s">
        <v>74</v>
      </c>
      <c r="AR438" t="s">
        <v>7201</v>
      </c>
      <c r="AS438" t="s">
        <v>7202</v>
      </c>
      <c r="AT438" t="s">
        <v>6858</v>
      </c>
      <c r="AU438">
        <v>2007</v>
      </c>
      <c r="AV438">
        <v>28</v>
      </c>
      <c r="AW438">
        <v>6</v>
      </c>
      <c r="AX438" t="s">
        <v>74</v>
      </c>
      <c r="AY438" t="s">
        <v>74</v>
      </c>
      <c r="AZ438" t="s">
        <v>74</v>
      </c>
      <c r="BA438" t="s">
        <v>74</v>
      </c>
      <c r="BB438">
        <v>599</v>
      </c>
      <c r="BC438">
        <v>631</v>
      </c>
      <c r="BD438" t="s">
        <v>74</v>
      </c>
      <c r="BE438" t="s">
        <v>7203</v>
      </c>
      <c r="BF438" t="str">
        <f>HYPERLINK("http://dx.doi.org/10.1007/s00382-006-0204-y","http://dx.doi.org/10.1007/s00382-006-0204-y")</f>
        <v>http://dx.doi.org/10.1007/s00382-006-0204-y</v>
      </c>
      <c r="BG438" t="s">
        <v>74</v>
      </c>
      <c r="BH438" t="s">
        <v>74</v>
      </c>
      <c r="BI438">
        <v>33</v>
      </c>
      <c r="BJ438" t="s">
        <v>435</v>
      </c>
      <c r="BK438" t="s">
        <v>98</v>
      </c>
      <c r="BL438" t="s">
        <v>435</v>
      </c>
      <c r="BM438" t="s">
        <v>7204</v>
      </c>
      <c r="BN438" t="s">
        <v>74</v>
      </c>
      <c r="BO438" t="s">
        <v>74</v>
      </c>
      <c r="BP438" t="s">
        <v>74</v>
      </c>
      <c r="BQ438" t="s">
        <v>74</v>
      </c>
      <c r="BR438" t="s">
        <v>101</v>
      </c>
      <c r="BS438" t="s">
        <v>7205</v>
      </c>
      <c r="BT438" t="str">
        <f>HYPERLINK("https%3A%2F%2Fwww.webofscience.com%2Fwos%2Fwoscc%2Ffull-record%2FWOS:000246153800003","View Full Record in Web of Science")</f>
        <v>View Full Record in Web of Science</v>
      </c>
    </row>
    <row r="439" spans="1:72" x14ac:dyDescent="0.15">
      <c r="A439" t="s">
        <v>72</v>
      </c>
      <c r="B439" t="s">
        <v>7206</v>
      </c>
      <c r="C439" t="s">
        <v>74</v>
      </c>
      <c r="D439" t="s">
        <v>74</v>
      </c>
      <c r="E439" t="s">
        <v>74</v>
      </c>
      <c r="F439" t="s">
        <v>7207</v>
      </c>
      <c r="G439" t="s">
        <v>74</v>
      </c>
      <c r="H439" t="s">
        <v>74</v>
      </c>
      <c r="I439" t="s">
        <v>7208</v>
      </c>
      <c r="J439" t="s">
        <v>7190</v>
      </c>
      <c r="K439" t="s">
        <v>74</v>
      </c>
      <c r="L439" t="s">
        <v>74</v>
      </c>
      <c r="M439" t="s">
        <v>78</v>
      </c>
      <c r="N439" t="s">
        <v>79</v>
      </c>
      <c r="O439" t="s">
        <v>74</v>
      </c>
      <c r="P439" t="s">
        <v>74</v>
      </c>
      <c r="Q439" t="s">
        <v>74</v>
      </c>
      <c r="R439" t="s">
        <v>74</v>
      </c>
      <c r="S439" t="s">
        <v>74</v>
      </c>
      <c r="T439" t="s">
        <v>74</v>
      </c>
      <c r="U439" t="s">
        <v>7209</v>
      </c>
      <c r="V439" t="s">
        <v>7210</v>
      </c>
      <c r="W439" t="s">
        <v>7211</v>
      </c>
      <c r="X439" t="s">
        <v>7212</v>
      </c>
      <c r="Y439" t="s">
        <v>7213</v>
      </c>
      <c r="Z439" t="s">
        <v>7214</v>
      </c>
      <c r="AA439" t="s">
        <v>7215</v>
      </c>
      <c r="AB439" t="s">
        <v>7216</v>
      </c>
      <c r="AC439" t="s">
        <v>1527</v>
      </c>
      <c r="AD439" t="s">
        <v>140</v>
      </c>
      <c r="AE439" t="s">
        <v>74</v>
      </c>
      <c r="AF439" t="s">
        <v>74</v>
      </c>
      <c r="AG439">
        <v>54</v>
      </c>
      <c r="AH439">
        <v>13</v>
      </c>
      <c r="AI439">
        <v>14</v>
      </c>
      <c r="AJ439">
        <v>0</v>
      </c>
      <c r="AK439">
        <v>13</v>
      </c>
      <c r="AL439" t="s">
        <v>1592</v>
      </c>
      <c r="AM439" t="s">
        <v>1593</v>
      </c>
      <c r="AN439" t="s">
        <v>1594</v>
      </c>
      <c r="AO439" t="s">
        <v>7199</v>
      </c>
      <c r="AP439" t="s">
        <v>7200</v>
      </c>
      <c r="AQ439" t="s">
        <v>74</v>
      </c>
      <c r="AR439" t="s">
        <v>7201</v>
      </c>
      <c r="AS439" t="s">
        <v>7202</v>
      </c>
      <c r="AT439" t="s">
        <v>6858</v>
      </c>
      <c r="AU439">
        <v>2007</v>
      </c>
      <c r="AV439">
        <v>28</v>
      </c>
      <c r="AW439">
        <v>6</v>
      </c>
      <c r="AX439" t="s">
        <v>74</v>
      </c>
      <c r="AY439" t="s">
        <v>74</v>
      </c>
      <c r="AZ439" t="s">
        <v>74</v>
      </c>
      <c r="BA439" t="s">
        <v>74</v>
      </c>
      <c r="BB439">
        <v>635</v>
      </c>
      <c r="BC439">
        <v>647</v>
      </c>
      <c r="BD439" t="s">
        <v>74</v>
      </c>
      <c r="BE439" t="s">
        <v>7217</v>
      </c>
      <c r="BF439" t="str">
        <f>HYPERLINK("http://dx.doi.org/10.1007/s00382-006-0211-z","http://dx.doi.org/10.1007/s00382-006-0211-z")</f>
        <v>http://dx.doi.org/10.1007/s00382-006-0211-z</v>
      </c>
      <c r="BG439" t="s">
        <v>74</v>
      </c>
      <c r="BH439" t="s">
        <v>74</v>
      </c>
      <c r="BI439">
        <v>13</v>
      </c>
      <c r="BJ439" t="s">
        <v>435</v>
      </c>
      <c r="BK439" t="s">
        <v>98</v>
      </c>
      <c r="BL439" t="s">
        <v>435</v>
      </c>
      <c r="BM439" t="s">
        <v>7204</v>
      </c>
      <c r="BN439" t="s">
        <v>74</v>
      </c>
      <c r="BO439" t="s">
        <v>1745</v>
      </c>
      <c r="BP439" t="s">
        <v>74</v>
      </c>
      <c r="BQ439" t="s">
        <v>74</v>
      </c>
      <c r="BR439" t="s">
        <v>101</v>
      </c>
      <c r="BS439" t="s">
        <v>7218</v>
      </c>
      <c r="BT439" t="str">
        <f>HYPERLINK("https%3A%2F%2Fwww.webofscience.com%2Fwos%2Fwoscc%2Ffull-record%2FWOS:000246153800004","View Full Record in Web of Science")</f>
        <v>View Full Record in Web of Science</v>
      </c>
    </row>
    <row r="440" spans="1:72" x14ac:dyDescent="0.15">
      <c r="A440" t="s">
        <v>72</v>
      </c>
      <c r="B440" t="s">
        <v>7219</v>
      </c>
      <c r="C440" t="s">
        <v>74</v>
      </c>
      <c r="D440" t="s">
        <v>74</v>
      </c>
      <c r="E440" t="s">
        <v>74</v>
      </c>
      <c r="F440" t="s">
        <v>7220</v>
      </c>
      <c r="G440" t="s">
        <v>74</v>
      </c>
      <c r="H440" t="s">
        <v>74</v>
      </c>
      <c r="I440" t="s">
        <v>7221</v>
      </c>
      <c r="J440" t="s">
        <v>1607</v>
      </c>
      <c r="K440" t="s">
        <v>74</v>
      </c>
      <c r="L440" t="s">
        <v>74</v>
      </c>
      <c r="M440" t="s">
        <v>78</v>
      </c>
      <c r="N440" t="s">
        <v>514</v>
      </c>
      <c r="O440" t="s">
        <v>7222</v>
      </c>
      <c r="P440" t="s">
        <v>7223</v>
      </c>
      <c r="Q440" t="s">
        <v>7224</v>
      </c>
      <c r="R440" t="s">
        <v>74</v>
      </c>
      <c r="S440" t="s">
        <v>74</v>
      </c>
      <c r="T440" t="s">
        <v>7225</v>
      </c>
      <c r="U440" t="s">
        <v>7226</v>
      </c>
      <c r="V440" t="s">
        <v>7227</v>
      </c>
      <c r="W440" t="s">
        <v>7228</v>
      </c>
      <c r="X440" t="s">
        <v>7229</v>
      </c>
      <c r="Y440" t="s">
        <v>7230</v>
      </c>
      <c r="Z440" t="s">
        <v>7231</v>
      </c>
      <c r="AA440" t="s">
        <v>7232</v>
      </c>
      <c r="AB440" t="s">
        <v>74</v>
      </c>
      <c r="AC440" t="s">
        <v>74</v>
      </c>
      <c r="AD440" t="s">
        <v>74</v>
      </c>
      <c r="AE440" t="s">
        <v>74</v>
      </c>
      <c r="AF440" t="s">
        <v>74</v>
      </c>
      <c r="AG440">
        <v>28</v>
      </c>
      <c r="AH440">
        <v>103</v>
      </c>
      <c r="AI440">
        <v>116</v>
      </c>
      <c r="AJ440">
        <v>1</v>
      </c>
      <c r="AK440">
        <v>28</v>
      </c>
      <c r="AL440" t="s">
        <v>592</v>
      </c>
      <c r="AM440" t="s">
        <v>273</v>
      </c>
      <c r="AN440" t="s">
        <v>593</v>
      </c>
      <c r="AO440" t="s">
        <v>1617</v>
      </c>
      <c r="AP440" t="s">
        <v>74</v>
      </c>
      <c r="AQ440" t="s">
        <v>74</v>
      </c>
      <c r="AR440" t="s">
        <v>1619</v>
      </c>
      <c r="AS440" t="s">
        <v>1620</v>
      </c>
      <c r="AT440" t="s">
        <v>6858</v>
      </c>
      <c r="AU440">
        <v>2007</v>
      </c>
      <c r="AV440">
        <v>48</v>
      </c>
      <c r="AW440">
        <v>2</v>
      </c>
      <c r="AX440" t="s">
        <v>74</v>
      </c>
      <c r="AY440" t="s">
        <v>74</v>
      </c>
      <c r="AZ440" t="s">
        <v>74</v>
      </c>
      <c r="BA440" t="s">
        <v>74</v>
      </c>
      <c r="BB440">
        <v>84</v>
      </c>
      <c r="BC440">
        <v>91</v>
      </c>
      <c r="BD440" t="s">
        <v>74</v>
      </c>
      <c r="BE440" t="s">
        <v>7233</v>
      </c>
      <c r="BF440" t="str">
        <f>HYPERLINK("http://dx.doi.org/10.1016/j.coldregions.2006.07.001","http://dx.doi.org/10.1016/j.coldregions.2006.07.001")</f>
        <v>http://dx.doi.org/10.1016/j.coldregions.2006.07.001</v>
      </c>
      <c r="BG440" t="s">
        <v>74</v>
      </c>
      <c r="BH440" t="s">
        <v>74</v>
      </c>
      <c r="BI440">
        <v>8</v>
      </c>
      <c r="BJ440" t="s">
        <v>1622</v>
      </c>
      <c r="BK440" t="s">
        <v>745</v>
      </c>
      <c r="BL440" t="s">
        <v>1623</v>
      </c>
      <c r="BM440" t="s">
        <v>7234</v>
      </c>
      <c r="BN440" t="s">
        <v>74</v>
      </c>
      <c r="BO440" t="s">
        <v>74</v>
      </c>
      <c r="BP440" t="s">
        <v>74</v>
      </c>
      <c r="BQ440" t="s">
        <v>74</v>
      </c>
      <c r="BR440" t="s">
        <v>101</v>
      </c>
      <c r="BS440" t="s">
        <v>7235</v>
      </c>
      <c r="BT440" t="str">
        <f>HYPERLINK("https%3A%2F%2Fwww.webofscience.com%2Fwos%2Fwoscc%2Ffull-record%2FWOS:000246128200003","View Full Record in Web of Science")</f>
        <v>View Full Record in Web of Science</v>
      </c>
    </row>
    <row r="441" spans="1:72" x14ac:dyDescent="0.15">
      <c r="A441" t="s">
        <v>72</v>
      </c>
      <c r="B441" t="s">
        <v>7236</v>
      </c>
      <c r="C441" t="s">
        <v>74</v>
      </c>
      <c r="D441" t="s">
        <v>74</v>
      </c>
      <c r="E441" t="s">
        <v>74</v>
      </c>
      <c r="F441" t="s">
        <v>7237</v>
      </c>
      <c r="G441" t="s">
        <v>74</v>
      </c>
      <c r="H441" t="s">
        <v>74</v>
      </c>
      <c r="I441" t="s">
        <v>7238</v>
      </c>
      <c r="J441" t="s">
        <v>1607</v>
      </c>
      <c r="K441" t="s">
        <v>74</v>
      </c>
      <c r="L441" t="s">
        <v>74</v>
      </c>
      <c r="M441" t="s">
        <v>78</v>
      </c>
      <c r="N441" t="s">
        <v>514</v>
      </c>
      <c r="O441" t="s">
        <v>7222</v>
      </c>
      <c r="P441" t="s">
        <v>7223</v>
      </c>
      <c r="Q441" t="s">
        <v>7239</v>
      </c>
      <c r="R441" t="s">
        <v>74</v>
      </c>
      <c r="S441" t="s">
        <v>74</v>
      </c>
      <c r="T441" t="s">
        <v>7240</v>
      </c>
      <c r="U441" t="s">
        <v>7241</v>
      </c>
      <c r="V441" t="s">
        <v>7242</v>
      </c>
      <c r="W441" t="s">
        <v>7243</v>
      </c>
      <c r="X441" t="s">
        <v>6438</v>
      </c>
      <c r="Y441" t="s">
        <v>7244</v>
      </c>
      <c r="Z441" t="s">
        <v>6440</v>
      </c>
      <c r="AA441" t="s">
        <v>74</v>
      </c>
      <c r="AB441" t="s">
        <v>6442</v>
      </c>
      <c r="AC441" t="s">
        <v>74</v>
      </c>
      <c r="AD441" t="s">
        <v>74</v>
      </c>
      <c r="AE441" t="s">
        <v>74</v>
      </c>
      <c r="AF441" t="s">
        <v>74</v>
      </c>
      <c r="AG441">
        <v>13</v>
      </c>
      <c r="AH441">
        <v>3</v>
      </c>
      <c r="AI441">
        <v>3</v>
      </c>
      <c r="AJ441">
        <v>1</v>
      </c>
      <c r="AK441">
        <v>8</v>
      </c>
      <c r="AL441" t="s">
        <v>592</v>
      </c>
      <c r="AM441" t="s">
        <v>273</v>
      </c>
      <c r="AN441" t="s">
        <v>593</v>
      </c>
      <c r="AO441" t="s">
        <v>1617</v>
      </c>
      <c r="AP441" t="s">
        <v>1618</v>
      </c>
      <c r="AQ441" t="s">
        <v>74</v>
      </c>
      <c r="AR441" t="s">
        <v>1619</v>
      </c>
      <c r="AS441" t="s">
        <v>1620</v>
      </c>
      <c r="AT441" t="s">
        <v>6858</v>
      </c>
      <c r="AU441">
        <v>2007</v>
      </c>
      <c r="AV441">
        <v>48</v>
      </c>
      <c r="AW441">
        <v>2</v>
      </c>
      <c r="AX441" t="s">
        <v>74</v>
      </c>
      <c r="AY441" t="s">
        <v>74</v>
      </c>
      <c r="AZ441" t="s">
        <v>74</v>
      </c>
      <c r="BA441" t="s">
        <v>74</v>
      </c>
      <c r="BB441">
        <v>92</v>
      </c>
      <c r="BC441">
        <v>104</v>
      </c>
      <c r="BD441" t="s">
        <v>74</v>
      </c>
      <c r="BE441" t="s">
        <v>7245</v>
      </c>
      <c r="BF441" t="str">
        <f>HYPERLINK("http://dx.doi.org/10.1016/j.coldregions.2006.07.003","http://dx.doi.org/10.1016/j.coldregions.2006.07.003")</f>
        <v>http://dx.doi.org/10.1016/j.coldregions.2006.07.003</v>
      </c>
      <c r="BG441" t="s">
        <v>74</v>
      </c>
      <c r="BH441" t="s">
        <v>74</v>
      </c>
      <c r="BI441">
        <v>13</v>
      </c>
      <c r="BJ441" t="s">
        <v>1622</v>
      </c>
      <c r="BK441" t="s">
        <v>535</v>
      </c>
      <c r="BL441" t="s">
        <v>1623</v>
      </c>
      <c r="BM441" t="s">
        <v>7234</v>
      </c>
      <c r="BN441" t="s">
        <v>74</v>
      </c>
      <c r="BO441" t="s">
        <v>74</v>
      </c>
      <c r="BP441" t="s">
        <v>74</v>
      </c>
      <c r="BQ441" t="s">
        <v>74</v>
      </c>
      <c r="BR441" t="s">
        <v>101</v>
      </c>
      <c r="BS441" t="s">
        <v>7246</v>
      </c>
      <c r="BT441" t="str">
        <f>HYPERLINK("https%3A%2F%2Fwww.webofscience.com%2Fwos%2Fwoscc%2Ffull-record%2FWOS:000246128200004","View Full Record in Web of Science")</f>
        <v>View Full Record in Web of Science</v>
      </c>
    </row>
    <row r="442" spans="1:72" x14ac:dyDescent="0.15">
      <c r="A442" t="s">
        <v>72</v>
      </c>
      <c r="B442" t="s">
        <v>7247</v>
      </c>
      <c r="C442" t="s">
        <v>74</v>
      </c>
      <c r="D442" t="s">
        <v>74</v>
      </c>
      <c r="E442" t="s">
        <v>74</v>
      </c>
      <c r="F442" t="s">
        <v>7248</v>
      </c>
      <c r="G442" t="s">
        <v>74</v>
      </c>
      <c r="H442" t="s">
        <v>74</v>
      </c>
      <c r="I442" t="s">
        <v>7249</v>
      </c>
      <c r="J442" t="s">
        <v>1607</v>
      </c>
      <c r="K442" t="s">
        <v>74</v>
      </c>
      <c r="L442" t="s">
        <v>74</v>
      </c>
      <c r="M442" t="s">
        <v>78</v>
      </c>
      <c r="N442" t="s">
        <v>514</v>
      </c>
      <c r="O442" t="s">
        <v>7222</v>
      </c>
      <c r="P442" t="s">
        <v>7223</v>
      </c>
      <c r="Q442" t="s">
        <v>7239</v>
      </c>
      <c r="R442" t="s">
        <v>74</v>
      </c>
      <c r="S442" t="s">
        <v>74</v>
      </c>
      <c r="T442" t="s">
        <v>7250</v>
      </c>
      <c r="U442" t="s">
        <v>7251</v>
      </c>
      <c r="V442" t="s">
        <v>7252</v>
      </c>
      <c r="W442" t="s">
        <v>7253</v>
      </c>
      <c r="X442" t="s">
        <v>7254</v>
      </c>
      <c r="Y442" t="s">
        <v>7255</v>
      </c>
      <c r="Z442" t="s">
        <v>74</v>
      </c>
      <c r="AA442" t="s">
        <v>74</v>
      </c>
      <c r="AB442" t="s">
        <v>6442</v>
      </c>
      <c r="AC442" t="s">
        <v>74</v>
      </c>
      <c r="AD442" t="s">
        <v>74</v>
      </c>
      <c r="AE442" t="s">
        <v>74</v>
      </c>
      <c r="AF442" t="s">
        <v>74</v>
      </c>
      <c r="AG442">
        <v>18</v>
      </c>
      <c r="AH442">
        <v>12</v>
      </c>
      <c r="AI442">
        <v>14</v>
      </c>
      <c r="AJ442">
        <v>0</v>
      </c>
      <c r="AK442">
        <v>14</v>
      </c>
      <c r="AL442" t="s">
        <v>272</v>
      </c>
      <c r="AM442" t="s">
        <v>273</v>
      </c>
      <c r="AN442" t="s">
        <v>274</v>
      </c>
      <c r="AO442" t="s">
        <v>1617</v>
      </c>
      <c r="AP442" t="s">
        <v>1618</v>
      </c>
      <c r="AQ442" t="s">
        <v>74</v>
      </c>
      <c r="AR442" t="s">
        <v>1619</v>
      </c>
      <c r="AS442" t="s">
        <v>1620</v>
      </c>
      <c r="AT442" t="s">
        <v>6858</v>
      </c>
      <c r="AU442">
        <v>2007</v>
      </c>
      <c r="AV442">
        <v>48</v>
      </c>
      <c r="AW442">
        <v>2</v>
      </c>
      <c r="AX442" t="s">
        <v>74</v>
      </c>
      <c r="AY442" t="s">
        <v>74</v>
      </c>
      <c r="AZ442" t="s">
        <v>74</v>
      </c>
      <c r="BA442" t="s">
        <v>74</v>
      </c>
      <c r="BB442">
        <v>105</v>
      </c>
      <c r="BC442">
        <v>117</v>
      </c>
      <c r="BD442" t="s">
        <v>74</v>
      </c>
      <c r="BE442" t="s">
        <v>7256</v>
      </c>
      <c r="BF442" t="str">
        <f>HYPERLINK("http://dx.doi.org/10.1016/j.coldregions.2006.08.001","http://dx.doi.org/10.1016/j.coldregions.2006.08.001")</f>
        <v>http://dx.doi.org/10.1016/j.coldregions.2006.08.001</v>
      </c>
      <c r="BG442" t="s">
        <v>74</v>
      </c>
      <c r="BH442" t="s">
        <v>74</v>
      </c>
      <c r="BI442">
        <v>13</v>
      </c>
      <c r="BJ442" t="s">
        <v>1622</v>
      </c>
      <c r="BK442" t="s">
        <v>535</v>
      </c>
      <c r="BL442" t="s">
        <v>1623</v>
      </c>
      <c r="BM442" t="s">
        <v>7234</v>
      </c>
      <c r="BN442" t="s">
        <v>74</v>
      </c>
      <c r="BO442" t="s">
        <v>74</v>
      </c>
      <c r="BP442" t="s">
        <v>74</v>
      </c>
      <c r="BQ442" t="s">
        <v>74</v>
      </c>
      <c r="BR442" t="s">
        <v>101</v>
      </c>
      <c r="BS442" t="s">
        <v>7257</v>
      </c>
      <c r="BT442" t="str">
        <f>HYPERLINK("https%3A%2F%2Fwww.webofscience.com%2Fwos%2Fwoscc%2Ffull-record%2FWOS:000246128200005","View Full Record in Web of Science")</f>
        <v>View Full Record in Web of Science</v>
      </c>
    </row>
    <row r="443" spans="1:72" x14ac:dyDescent="0.15">
      <c r="A443" t="s">
        <v>72</v>
      </c>
      <c r="B443" t="s">
        <v>7258</v>
      </c>
      <c r="C443" t="s">
        <v>74</v>
      </c>
      <c r="D443" t="s">
        <v>74</v>
      </c>
      <c r="E443" t="s">
        <v>74</v>
      </c>
      <c r="F443" t="s">
        <v>7259</v>
      </c>
      <c r="G443" t="s">
        <v>74</v>
      </c>
      <c r="H443" t="s">
        <v>74</v>
      </c>
      <c r="I443" t="s">
        <v>7260</v>
      </c>
      <c r="J443" t="s">
        <v>1607</v>
      </c>
      <c r="K443" t="s">
        <v>74</v>
      </c>
      <c r="L443" t="s">
        <v>74</v>
      </c>
      <c r="M443" t="s">
        <v>78</v>
      </c>
      <c r="N443" t="s">
        <v>514</v>
      </c>
      <c r="O443" t="s">
        <v>7222</v>
      </c>
      <c r="P443" t="s">
        <v>7223</v>
      </c>
      <c r="Q443" t="s">
        <v>7224</v>
      </c>
      <c r="R443" t="s">
        <v>74</v>
      </c>
      <c r="S443" t="s">
        <v>74</v>
      </c>
      <c r="T443" t="s">
        <v>7261</v>
      </c>
      <c r="U443" t="s">
        <v>7262</v>
      </c>
      <c r="V443" t="s">
        <v>7263</v>
      </c>
      <c r="W443" t="s">
        <v>7264</v>
      </c>
      <c r="X443" t="s">
        <v>7265</v>
      </c>
      <c r="Y443" t="s">
        <v>7266</v>
      </c>
      <c r="Z443" t="s">
        <v>7267</v>
      </c>
      <c r="AA443" t="s">
        <v>7232</v>
      </c>
      <c r="AB443" t="s">
        <v>74</v>
      </c>
      <c r="AC443" t="s">
        <v>74</v>
      </c>
      <c r="AD443" t="s">
        <v>74</v>
      </c>
      <c r="AE443" t="s">
        <v>74</v>
      </c>
      <c r="AF443" t="s">
        <v>74</v>
      </c>
      <c r="AG443">
        <v>26</v>
      </c>
      <c r="AH443">
        <v>64</v>
      </c>
      <c r="AI443">
        <v>73</v>
      </c>
      <c r="AJ443">
        <v>0</v>
      </c>
      <c r="AK443">
        <v>29</v>
      </c>
      <c r="AL443" t="s">
        <v>592</v>
      </c>
      <c r="AM443" t="s">
        <v>273</v>
      </c>
      <c r="AN443" t="s">
        <v>593</v>
      </c>
      <c r="AO443" t="s">
        <v>1617</v>
      </c>
      <c r="AP443" t="s">
        <v>74</v>
      </c>
      <c r="AQ443" t="s">
        <v>74</v>
      </c>
      <c r="AR443" t="s">
        <v>1619</v>
      </c>
      <c r="AS443" t="s">
        <v>1620</v>
      </c>
      <c r="AT443" t="s">
        <v>6858</v>
      </c>
      <c r="AU443">
        <v>2007</v>
      </c>
      <c r="AV443">
        <v>48</v>
      </c>
      <c r="AW443">
        <v>2</v>
      </c>
      <c r="AX443" t="s">
        <v>74</v>
      </c>
      <c r="AY443" t="s">
        <v>74</v>
      </c>
      <c r="AZ443" t="s">
        <v>74</v>
      </c>
      <c r="BA443" t="s">
        <v>74</v>
      </c>
      <c r="BB443">
        <v>139</v>
      </c>
      <c r="BC443">
        <v>153</v>
      </c>
      <c r="BD443" t="s">
        <v>74</v>
      </c>
      <c r="BE443" t="s">
        <v>7268</v>
      </c>
      <c r="BF443" t="str">
        <f>HYPERLINK("http://dx.doi.org/10.1016/j.coldregions.2006.11.001","http://dx.doi.org/10.1016/j.coldregions.2006.11.001")</f>
        <v>http://dx.doi.org/10.1016/j.coldregions.2006.11.001</v>
      </c>
      <c r="BG443" t="s">
        <v>74</v>
      </c>
      <c r="BH443" t="s">
        <v>74</v>
      </c>
      <c r="BI443">
        <v>15</v>
      </c>
      <c r="BJ443" t="s">
        <v>1622</v>
      </c>
      <c r="BK443" t="s">
        <v>745</v>
      </c>
      <c r="BL443" t="s">
        <v>1623</v>
      </c>
      <c r="BM443" t="s">
        <v>7234</v>
      </c>
      <c r="BN443" t="s">
        <v>74</v>
      </c>
      <c r="BO443" t="s">
        <v>74</v>
      </c>
      <c r="BP443" t="s">
        <v>74</v>
      </c>
      <c r="BQ443" t="s">
        <v>74</v>
      </c>
      <c r="BR443" t="s">
        <v>101</v>
      </c>
      <c r="BS443" t="s">
        <v>7269</v>
      </c>
      <c r="BT443" t="str">
        <f>HYPERLINK("https%3A%2F%2Fwww.webofscience.com%2Fwos%2Fwoscc%2Ffull-record%2FWOS:000246128200008","View Full Record in Web of Science")</f>
        <v>View Full Record in Web of Science</v>
      </c>
    </row>
    <row r="444" spans="1:72" x14ac:dyDescent="0.15">
      <c r="A444" t="s">
        <v>72</v>
      </c>
      <c r="B444" t="s">
        <v>7270</v>
      </c>
      <c r="C444" t="s">
        <v>74</v>
      </c>
      <c r="D444" t="s">
        <v>74</v>
      </c>
      <c r="E444" t="s">
        <v>74</v>
      </c>
      <c r="F444" t="s">
        <v>7271</v>
      </c>
      <c r="G444" t="s">
        <v>74</v>
      </c>
      <c r="H444" t="s">
        <v>74</v>
      </c>
      <c r="I444" t="s">
        <v>7272</v>
      </c>
      <c r="J444" t="s">
        <v>1607</v>
      </c>
      <c r="K444" t="s">
        <v>74</v>
      </c>
      <c r="L444" t="s">
        <v>74</v>
      </c>
      <c r="M444" t="s">
        <v>78</v>
      </c>
      <c r="N444" t="s">
        <v>514</v>
      </c>
      <c r="O444" t="s">
        <v>7222</v>
      </c>
      <c r="P444" t="s">
        <v>7223</v>
      </c>
      <c r="Q444" t="s">
        <v>7239</v>
      </c>
      <c r="R444" t="s">
        <v>74</v>
      </c>
      <c r="S444" t="s">
        <v>74</v>
      </c>
      <c r="T444" t="s">
        <v>7273</v>
      </c>
      <c r="U444" t="s">
        <v>7274</v>
      </c>
      <c r="V444" t="s">
        <v>7275</v>
      </c>
      <c r="W444" t="s">
        <v>7276</v>
      </c>
      <c r="X444" t="s">
        <v>7277</v>
      </c>
      <c r="Y444" t="s">
        <v>7278</v>
      </c>
      <c r="Z444" t="s">
        <v>7279</v>
      </c>
      <c r="AA444" t="s">
        <v>7280</v>
      </c>
      <c r="AB444" t="s">
        <v>7281</v>
      </c>
      <c r="AC444" t="s">
        <v>74</v>
      </c>
      <c r="AD444" t="s">
        <v>74</v>
      </c>
      <c r="AE444" t="s">
        <v>74</v>
      </c>
      <c r="AF444" t="s">
        <v>74</v>
      </c>
      <c r="AG444">
        <v>31</v>
      </c>
      <c r="AH444">
        <v>16</v>
      </c>
      <c r="AI444">
        <v>16</v>
      </c>
      <c r="AJ444">
        <v>0</v>
      </c>
      <c r="AK444">
        <v>16</v>
      </c>
      <c r="AL444" t="s">
        <v>272</v>
      </c>
      <c r="AM444" t="s">
        <v>273</v>
      </c>
      <c r="AN444" t="s">
        <v>274</v>
      </c>
      <c r="AO444" t="s">
        <v>1617</v>
      </c>
      <c r="AP444" t="s">
        <v>1618</v>
      </c>
      <c r="AQ444" t="s">
        <v>74</v>
      </c>
      <c r="AR444" t="s">
        <v>1619</v>
      </c>
      <c r="AS444" t="s">
        <v>1620</v>
      </c>
      <c r="AT444" t="s">
        <v>6858</v>
      </c>
      <c r="AU444">
        <v>2007</v>
      </c>
      <c r="AV444">
        <v>48</v>
      </c>
      <c r="AW444">
        <v>2</v>
      </c>
      <c r="AX444" t="s">
        <v>74</v>
      </c>
      <c r="AY444" t="s">
        <v>74</v>
      </c>
      <c r="AZ444" t="s">
        <v>74</v>
      </c>
      <c r="BA444" t="s">
        <v>74</v>
      </c>
      <c r="BB444">
        <v>154</v>
      </c>
      <c r="BC444">
        <v>167</v>
      </c>
      <c r="BD444" t="s">
        <v>74</v>
      </c>
      <c r="BE444" t="s">
        <v>7282</v>
      </c>
      <c r="BF444" t="str">
        <f>HYPERLINK("http://dx.doi.org/10.1016/j.coldregions.2007.01.001","http://dx.doi.org/10.1016/j.coldregions.2007.01.001")</f>
        <v>http://dx.doi.org/10.1016/j.coldregions.2007.01.001</v>
      </c>
      <c r="BG444" t="s">
        <v>74</v>
      </c>
      <c r="BH444" t="s">
        <v>74</v>
      </c>
      <c r="BI444">
        <v>14</v>
      </c>
      <c r="BJ444" t="s">
        <v>1622</v>
      </c>
      <c r="BK444" t="s">
        <v>535</v>
      </c>
      <c r="BL444" t="s">
        <v>1623</v>
      </c>
      <c r="BM444" t="s">
        <v>7234</v>
      </c>
      <c r="BN444" t="s">
        <v>74</v>
      </c>
      <c r="BO444" t="s">
        <v>74</v>
      </c>
      <c r="BP444" t="s">
        <v>74</v>
      </c>
      <c r="BQ444" t="s">
        <v>74</v>
      </c>
      <c r="BR444" t="s">
        <v>101</v>
      </c>
      <c r="BS444" t="s">
        <v>7283</v>
      </c>
      <c r="BT444" t="str">
        <f>HYPERLINK("https%3A%2F%2Fwww.webofscience.com%2Fwos%2Fwoscc%2Ffull-record%2FWOS:000246128200009","View Full Record in Web of Science")</f>
        <v>View Full Record in Web of Science</v>
      </c>
    </row>
    <row r="445" spans="1:72" x14ac:dyDescent="0.15">
      <c r="A445" t="s">
        <v>72</v>
      </c>
      <c r="B445" t="s">
        <v>7284</v>
      </c>
      <c r="C445" t="s">
        <v>74</v>
      </c>
      <c r="D445" t="s">
        <v>74</v>
      </c>
      <c r="E445" t="s">
        <v>74</v>
      </c>
      <c r="F445" t="s">
        <v>7285</v>
      </c>
      <c r="G445" t="s">
        <v>74</v>
      </c>
      <c r="H445" t="s">
        <v>74</v>
      </c>
      <c r="I445" t="s">
        <v>7286</v>
      </c>
      <c r="J445" t="s">
        <v>1651</v>
      </c>
      <c r="K445" t="s">
        <v>74</v>
      </c>
      <c r="L445" t="s">
        <v>74</v>
      </c>
      <c r="M445" t="s">
        <v>78</v>
      </c>
      <c r="N445" t="s">
        <v>79</v>
      </c>
      <c r="O445" t="s">
        <v>74</v>
      </c>
      <c r="P445" t="s">
        <v>74</v>
      </c>
      <c r="Q445" t="s">
        <v>74</v>
      </c>
      <c r="R445" t="s">
        <v>74</v>
      </c>
      <c r="S445" t="s">
        <v>74</v>
      </c>
      <c r="T445" t="s">
        <v>7287</v>
      </c>
      <c r="U445" t="s">
        <v>7288</v>
      </c>
      <c r="V445" t="s">
        <v>7289</v>
      </c>
      <c r="W445" t="s">
        <v>7290</v>
      </c>
      <c r="X445" t="s">
        <v>7291</v>
      </c>
      <c r="Y445" t="s">
        <v>7292</v>
      </c>
      <c r="Z445" t="s">
        <v>7293</v>
      </c>
      <c r="AA445" t="s">
        <v>7294</v>
      </c>
      <c r="AB445" t="s">
        <v>7295</v>
      </c>
      <c r="AC445" t="s">
        <v>74</v>
      </c>
      <c r="AD445" t="s">
        <v>74</v>
      </c>
      <c r="AE445" t="s">
        <v>74</v>
      </c>
      <c r="AF445" t="s">
        <v>74</v>
      </c>
      <c r="AG445">
        <v>66</v>
      </c>
      <c r="AH445">
        <v>15</v>
      </c>
      <c r="AI445">
        <v>20</v>
      </c>
      <c r="AJ445">
        <v>1</v>
      </c>
      <c r="AK445">
        <v>21</v>
      </c>
      <c r="AL445" t="s">
        <v>1503</v>
      </c>
      <c r="AM445" t="s">
        <v>1504</v>
      </c>
      <c r="AN445" t="s">
        <v>1505</v>
      </c>
      <c r="AO445" t="s">
        <v>1661</v>
      </c>
      <c r="AP445" t="s">
        <v>1662</v>
      </c>
      <c r="AQ445" t="s">
        <v>74</v>
      </c>
      <c r="AR445" t="s">
        <v>1663</v>
      </c>
      <c r="AS445" t="s">
        <v>1664</v>
      </c>
      <c r="AT445" t="s">
        <v>6858</v>
      </c>
      <c r="AU445">
        <v>2007</v>
      </c>
      <c r="AV445">
        <v>54</v>
      </c>
      <c r="AW445">
        <v>5</v>
      </c>
      <c r="AX445" t="s">
        <v>74</v>
      </c>
      <c r="AY445" t="s">
        <v>74</v>
      </c>
      <c r="AZ445" t="s">
        <v>74</v>
      </c>
      <c r="BA445" t="s">
        <v>74</v>
      </c>
      <c r="BB445">
        <v>732</v>
      </c>
      <c r="BC445">
        <v>746</v>
      </c>
      <c r="BD445" t="s">
        <v>74</v>
      </c>
      <c r="BE445" t="s">
        <v>7296</v>
      </c>
      <c r="BF445" t="str">
        <f>HYPERLINK("http://dx.doi.org/10.1016/j.dsr.2007.02.001","http://dx.doi.org/10.1016/j.dsr.2007.02.001")</f>
        <v>http://dx.doi.org/10.1016/j.dsr.2007.02.001</v>
      </c>
      <c r="BG445" t="s">
        <v>74</v>
      </c>
      <c r="BH445" t="s">
        <v>74</v>
      </c>
      <c r="BI445">
        <v>15</v>
      </c>
      <c r="BJ445" t="s">
        <v>221</v>
      </c>
      <c r="BK445" t="s">
        <v>98</v>
      </c>
      <c r="BL445" t="s">
        <v>221</v>
      </c>
      <c r="BM445" t="s">
        <v>7297</v>
      </c>
      <c r="BN445" t="s">
        <v>74</v>
      </c>
      <c r="BO445" t="s">
        <v>74</v>
      </c>
      <c r="BP445" t="s">
        <v>74</v>
      </c>
      <c r="BQ445" t="s">
        <v>74</v>
      </c>
      <c r="BR445" t="s">
        <v>101</v>
      </c>
      <c r="BS445" t="s">
        <v>7298</v>
      </c>
      <c r="BT445" t="str">
        <f>HYPERLINK("https%3A%2F%2Fwww.webofscience.com%2Fwos%2Fwoscc%2Ffull-record%2FWOS:000247017500003","View Full Record in Web of Science")</f>
        <v>View Full Record in Web of Science</v>
      </c>
    </row>
    <row r="446" spans="1:72" x14ac:dyDescent="0.15">
      <c r="A446" t="s">
        <v>72</v>
      </c>
      <c r="B446" t="s">
        <v>7299</v>
      </c>
      <c r="C446" t="s">
        <v>74</v>
      </c>
      <c r="D446" t="s">
        <v>74</v>
      </c>
      <c r="E446" t="s">
        <v>74</v>
      </c>
      <c r="F446" t="s">
        <v>7300</v>
      </c>
      <c r="G446" t="s">
        <v>74</v>
      </c>
      <c r="H446" t="s">
        <v>74</v>
      </c>
      <c r="I446" t="s">
        <v>7301</v>
      </c>
      <c r="J446" t="s">
        <v>1651</v>
      </c>
      <c r="K446" t="s">
        <v>74</v>
      </c>
      <c r="L446" t="s">
        <v>74</v>
      </c>
      <c r="M446" t="s">
        <v>78</v>
      </c>
      <c r="N446" t="s">
        <v>79</v>
      </c>
      <c r="O446" t="s">
        <v>74</v>
      </c>
      <c r="P446" t="s">
        <v>74</v>
      </c>
      <c r="Q446" t="s">
        <v>74</v>
      </c>
      <c r="R446" t="s">
        <v>74</v>
      </c>
      <c r="S446" t="s">
        <v>74</v>
      </c>
      <c r="T446" t="s">
        <v>7302</v>
      </c>
      <c r="U446" t="s">
        <v>7303</v>
      </c>
      <c r="V446" t="s">
        <v>7304</v>
      </c>
      <c r="W446" t="s">
        <v>7305</v>
      </c>
      <c r="X446" t="s">
        <v>7306</v>
      </c>
      <c r="Y446" t="s">
        <v>7307</v>
      </c>
      <c r="Z446" t="s">
        <v>7308</v>
      </c>
      <c r="AA446" t="s">
        <v>74</v>
      </c>
      <c r="AB446" t="s">
        <v>74</v>
      </c>
      <c r="AC446" t="s">
        <v>74</v>
      </c>
      <c r="AD446" t="s">
        <v>74</v>
      </c>
      <c r="AE446" t="s">
        <v>74</v>
      </c>
      <c r="AF446" t="s">
        <v>74</v>
      </c>
      <c r="AG446">
        <v>64</v>
      </c>
      <c r="AH446">
        <v>20</v>
      </c>
      <c r="AI446">
        <v>25</v>
      </c>
      <c r="AJ446">
        <v>1</v>
      </c>
      <c r="AK446">
        <v>23</v>
      </c>
      <c r="AL446" t="s">
        <v>1503</v>
      </c>
      <c r="AM446" t="s">
        <v>1504</v>
      </c>
      <c r="AN446" t="s">
        <v>1505</v>
      </c>
      <c r="AO446" t="s">
        <v>1661</v>
      </c>
      <c r="AP446" t="s">
        <v>1662</v>
      </c>
      <c r="AQ446" t="s">
        <v>74</v>
      </c>
      <c r="AR446" t="s">
        <v>1663</v>
      </c>
      <c r="AS446" t="s">
        <v>1664</v>
      </c>
      <c r="AT446" t="s">
        <v>6858</v>
      </c>
      <c r="AU446">
        <v>2007</v>
      </c>
      <c r="AV446">
        <v>54</v>
      </c>
      <c r="AW446">
        <v>5</v>
      </c>
      <c r="AX446" t="s">
        <v>74</v>
      </c>
      <c r="AY446" t="s">
        <v>74</v>
      </c>
      <c r="AZ446" t="s">
        <v>74</v>
      </c>
      <c r="BA446" t="s">
        <v>74</v>
      </c>
      <c r="BB446">
        <v>747</v>
      </c>
      <c r="BC446">
        <v>773</v>
      </c>
      <c r="BD446" t="s">
        <v>74</v>
      </c>
      <c r="BE446" t="s">
        <v>7309</v>
      </c>
      <c r="BF446" t="str">
        <f>HYPERLINK("http://dx.doi.org/10.1016/j.dsr.2007.02.008","http://dx.doi.org/10.1016/j.dsr.2007.02.008")</f>
        <v>http://dx.doi.org/10.1016/j.dsr.2007.02.008</v>
      </c>
      <c r="BG446" t="s">
        <v>74</v>
      </c>
      <c r="BH446" t="s">
        <v>74</v>
      </c>
      <c r="BI446">
        <v>27</v>
      </c>
      <c r="BJ446" t="s">
        <v>221</v>
      </c>
      <c r="BK446" t="s">
        <v>98</v>
      </c>
      <c r="BL446" t="s">
        <v>221</v>
      </c>
      <c r="BM446" t="s">
        <v>7297</v>
      </c>
      <c r="BN446" t="s">
        <v>74</v>
      </c>
      <c r="BO446" t="s">
        <v>74</v>
      </c>
      <c r="BP446" t="s">
        <v>74</v>
      </c>
      <c r="BQ446" t="s">
        <v>74</v>
      </c>
      <c r="BR446" t="s">
        <v>101</v>
      </c>
      <c r="BS446" t="s">
        <v>7310</v>
      </c>
      <c r="BT446" t="str">
        <f>HYPERLINK("https%3A%2F%2Fwww.webofscience.com%2Fwos%2Fwoscc%2Ffull-record%2FWOS:000247017500004","View Full Record in Web of Science")</f>
        <v>View Full Record in Web of Science</v>
      </c>
    </row>
    <row r="447" spans="1:72" x14ac:dyDescent="0.15">
      <c r="A447" t="s">
        <v>72</v>
      </c>
      <c r="B447" t="s">
        <v>7311</v>
      </c>
      <c r="C447" t="s">
        <v>74</v>
      </c>
      <c r="D447" t="s">
        <v>74</v>
      </c>
      <c r="E447" t="s">
        <v>74</v>
      </c>
      <c r="F447" t="s">
        <v>7312</v>
      </c>
      <c r="G447" t="s">
        <v>74</v>
      </c>
      <c r="H447" t="s">
        <v>74</v>
      </c>
      <c r="I447" t="s">
        <v>7313</v>
      </c>
      <c r="J447" t="s">
        <v>1651</v>
      </c>
      <c r="K447" t="s">
        <v>74</v>
      </c>
      <c r="L447" t="s">
        <v>74</v>
      </c>
      <c r="M447" t="s">
        <v>78</v>
      </c>
      <c r="N447" t="s">
        <v>79</v>
      </c>
      <c r="O447" t="s">
        <v>74</v>
      </c>
      <c r="P447" t="s">
        <v>74</v>
      </c>
      <c r="Q447" t="s">
        <v>74</v>
      </c>
      <c r="R447" t="s">
        <v>74</v>
      </c>
      <c r="S447" t="s">
        <v>74</v>
      </c>
      <c r="T447" t="s">
        <v>7314</v>
      </c>
      <c r="U447" t="s">
        <v>7315</v>
      </c>
      <c r="V447" t="s">
        <v>7316</v>
      </c>
      <c r="W447" t="s">
        <v>4766</v>
      </c>
      <c r="X447" t="s">
        <v>1988</v>
      </c>
      <c r="Y447" t="s">
        <v>7317</v>
      </c>
      <c r="Z447" t="s">
        <v>7318</v>
      </c>
      <c r="AA447" t="s">
        <v>7319</v>
      </c>
      <c r="AB447" t="s">
        <v>7320</v>
      </c>
      <c r="AC447" t="s">
        <v>1737</v>
      </c>
      <c r="AD447" t="s">
        <v>361</v>
      </c>
      <c r="AE447" t="s">
        <v>74</v>
      </c>
      <c r="AF447" t="s">
        <v>74</v>
      </c>
      <c r="AG447">
        <v>91</v>
      </c>
      <c r="AH447">
        <v>114</v>
      </c>
      <c r="AI447">
        <v>123</v>
      </c>
      <c r="AJ447">
        <v>2</v>
      </c>
      <c r="AK447">
        <v>41</v>
      </c>
      <c r="AL447" t="s">
        <v>1503</v>
      </c>
      <c r="AM447" t="s">
        <v>1504</v>
      </c>
      <c r="AN447" t="s">
        <v>1505</v>
      </c>
      <c r="AO447" t="s">
        <v>1661</v>
      </c>
      <c r="AP447" t="s">
        <v>1662</v>
      </c>
      <c r="AQ447" t="s">
        <v>74</v>
      </c>
      <c r="AR447" t="s">
        <v>1663</v>
      </c>
      <c r="AS447" t="s">
        <v>1664</v>
      </c>
      <c r="AT447" t="s">
        <v>6858</v>
      </c>
      <c r="AU447">
        <v>2007</v>
      </c>
      <c r="AV447">
        <v>54</v>
      </c>
      <c r="AW447">
        <v>5</v>
      </c>
      <c r="AX447" t="s">
        <v>74</v>
      </c>
      <c r="AY447" t="s">
        <v>74</v>
      </c>
      <c r="AZ447" t="s">
        <v>74</v>
      </c>
      <c r="BA447" t="s">
        <v>74</v>
      </c>
      <c r="BB447">
        <v>792</v>
      </c>
      <c r="BC447">
        <v>810</v>
      </c>
      <c r="BD447" t="s">
        <v>74</v>
      </c>
      <c r="BE447" t="s">
        <v>7321</v>
      </c>
      <c r="BF447" t="str">
        <f>HYPERLINK("http://dx.doi.org/10.1016/j.dsr.2007.01.008","http://dx.doi.org/10.1016/j.dsr.2007.01.008")</f>
        <v>http://dx.doi.org/10.1016/j.dsr.2007.01.008</v>
      </c>
      <c r="BG447" t="s">
        <v>74</v>
      </c>
      <c r="BH447" t="s">
        <v>74</v>
      </c>
      <c r="BI447">
        <v>19</v>
      </c>
      <c r="BJ447" t="s">
        <v>221</v>
      </c>
      <c r="BK447" t="s">
        <v>98</v>
      </c>
      <c r="BL447" t="s">
        <v>221</v>
      </c>
      <c r="BM447" t="s">
        <v>7297</v>
      </c>
      <c r="BN447" t="s">
        <v>74</v>
      </c>
      <c r="BO447" t="s">
        <v>223</v>
      </c>
      <c r="BP447" t="s">
        <v>74</v>
      </c>
      <c r="BQ447" t="s">
        <v>74</v>
      </c>
      <c r="BR447" t="s">
        <v>101</v>
      </c>
      <c r="BS447" t="s">
        <v>7322</v>
      </c>
      <c r="BT447" t="str">
        <f>HYPERLINK("https%3A%2F%2Fwww.webofscience.com%2Fwos%2Fwoscc%2Ffull-record%2FWOS:000247017500006","View Full Record in Web of Science")</f>
        <v>View Full Record in Web of Science</v>
      </c>
    </row>
    <row r="448" spans="1:72" x14ac:dyDescent="0.15">
      <c r="A448" t="s">
        <v>72</v>
      </c>
      <c r="B448" t="s">
        <v>7323</v>
      </c>
      <c r="C448" t="s">
        <v>74</v>
      </c>
      <c r="D448" t="s">
        <v>74</v>
      </c>
      <c r="E448" t="s">
        <v>74</v>
      </c>
      <c r="F448" t="s">
        <v>7324</v>
      </c>
      <c r="G448" t="s">
        <v>74</v>
      </c>
      <c r="H448" t="s">
        <v>74</v>
      </c>
      <c r="I448" t="s">
        <v>7325</v>
      </c>
      <c r="J448" t="s">
        <v>7326</v>
      </c>
      <c r="K448" t="s">
        <v>74</v>
      </c>
      <c r="L448" t="s">
        <v>74</v>
      </c>
      <c r="M448" t="s">
        <v>78</v>
      </c>
      <c r="N448" t="s">
        <v>79</v>
      </c>
      <c r="O448" t="s">
        <v>74</v>
      </c>
      <c r="P448" t="s">
        <v>74</v>
      </c>
      <c r="Q448" t="s">
        <v>74</v>
      </c>
      <c r="R448" t="s">
        <v>74</v>
      </c>
      <c r="S448" t="s">
        <v>74</v>
      </c>
      <c r="T448" t="s">
        <v>74</v>
      </c>
      <c r="U448" t="s">
        <v>1689</v>
      </c>
      <c r="V448" t="s">
        <v>7327</v>
      </c>
      <c r="W448" t="s">
        <v>7328</v>
      </c>
      <c r="X448" t="s">
        <v>6192</v>
      </c>
      <c r="Y448" t="s">
        <v>7329</v>
      </c>
      <c r="Z448" t="s">
        <v>7330</v>
      </c>
      <c r="AA448" t="s">
        <v>7331</v>
      </c>
      <c r="AB448" t="s">
        <v>74</v>
      </c>
      <c r="AC448" t="s">
        <v>74</v>
      </c>
      <c r="AD448" t="s">
        <v>74</v>
      </c>
      <c r="AE448" t="s">
        <v>74</v>
      </c>
      <c r="AF448" t="s">
        <v>74</v>
      </c>
      <c r="AG448">
        <v>26</v>
      </c>
      <c r="AH448">
        <v>16</v>
      </c>
      <c r="AI448">
        <v>16</v>
      </c>
      <c r="AJ448">
        <v>1</v>
      </c>
      <c r="AK448">
        <v>4</v>
      </c>
      <c r="AL448" t="s">
        <v>1225</v>
      </c>
      <c r="AM448" t="s">
        <v>1226</v>
      </c>
      <c r="AN448" t="s">
        <v>1227</v>
      </c>
      <c r="AO448" t="s">
        <v>7332</v>
      </c>
      <c r="AP448" t="s">
        <v>7333</v>
      </c>
      <c r="AQ448" t="s">
        <v>74</v>
      </c>
      <c r="AR448" t="s">
        <v>7334</v>
      </c>
      <c r="AS448" t="s">
        <v>7335</v>
      </c>
      <c r="AT448" t="s">
        <v>6858</v>
      </c>
      <c r="AU448">
        <v>2007</v>
      </c>
      <c r="AV448">
        <v>22</v>
      </c>
      <c r="AW448">
        <v>1</v>
      </c>
      <c r="AX448" t="s">
        <v>74</v>
      </c>
      <c r="AY448" t="s">
        <v>74</v>
      </c>
      <c r="AZ448" t="s">
        <v>74</v>
      </c>
      <c r="BA448" t="s">
        <v>74</v>
      </c>
      <c r="BB448">
        <v>45</v>
      </c>
      <c r="BC448">
        <v>56</v>
      </c>
      <c r="BD448" t="s">
        <v>74</v>
      </c>
      <c r="BE448" t="s">
        <v>74</v>
      </c>
      <c r="BF448" t="s">
        <v>74</v>
      </c>
      <c r="BG448" t="s">
        <v>74</v>
      </c>
      <c r="BH448" t="s">
        <v>74</v>
      </c>
      <c r="BI448">
        <v>12</v>
      </c>
      <c r="BJ448" t="s">
        <v>2178</v>
      </c>
      <c r="BK448" t="s">
        <v>98</v>
      </c>
      <c r="BL448" t="s">
        <v>2178</v>
      </c>
      <c r="BM448" t="s">
        <v>7336</v>
      </c>
      <c r="BN448" t="s">
        <v>74</v>
      </c>
      <c r="BO448" t="s">
        <v>74</v>
      </c>
      <c r="BP448" t="s">
        <v>74</v>
      </c>
      <c r="BQ448" t="s">
        <v>74</v>
      </c>
      <c r="BR448" t="s">
        <v>101</v>
      </c>
      <c r="BS448" t="s">
        <v>7337</v>
      </c>
      <c r="BT448" t="str">
        <f>HYPERLINK("https%3A%2F%2Fwww.webofscience.com%2Fwos%2Fwoscc%2Ffull-record%2FWOS:000246758300004","View Full Record in Web of Science")</f>
        <v>View Full Record in Web of Science</v>
      </c>
    </row>
    <row r="449" spans="1:72" x14ac:dyDescent="0.15">
      <c r="A449" t="s">
        <v>72</v>
      </c>
      <c r="B449" t="s">
        <v>7338</v>
      </c>
      <c r="C449" t="s">
        <v>74</v>
      </c>
      <c r="D449" t="s">
        <v>74</v>
      </c>
      <c r="E449" t="s">
        <v>74</v>
      </c>
      <c r="F449" t="s">
        <v>7339</v>
      </c>
      <c r="G449" t="s">
        <v>74</v>
      </c>
      <c r="H449" t="s">
        <v>74</v>
      </c>
      <c r="I449" t="s">
        <v>7340</v>
      </c>
      <c r="J449" t="s">
        <v>7341</v>
      </c>
      <c r="K449" t="s">
        <v>74</v>
      </c>
      <c r="L449" t="s">
        <v>74</v>
      </c>
      <c r="M449" t="s">
        <v>78</v>
      </c>
      <c r="N449" t="s">
        <v>79</v>
      </c>
      <c r="O449" t="s">
        <v>74</v>
      </c>
      <c r="P449" t="s">
        <v>74</v>
      </c>
      <c r="Q449" t="s">
        <v>74</v>
      </c>
      <c r="R449" t="s">
        <v>74</v>
      </c>
      <c r="S449" t="s">
        <v>74</v>
      </c>
      <c r="T449" t="s">
        <v>7342</v>
      </c>
      <c r="U449" t="s">
        <v>7343</v>
      </c>
      <c r="V449" t="s">
        <v>7344</v>
      </c>
      <c r="W449" t="s">
        <v>7345</v>
      </c>
      <c r="X449" t="s">
        <v>7346</v>
      </c>
      <c r="Y449" t="s">
        <v>7347</v>
      </c>
      <c r="Z449" t="s">
        <v>7142</v>
      </c>
      <c r="AA449" t="s">
        <v>7348</v>
      </c>
      <c r="AB449" t="s">
        <v>7349</v>
      </c>
      <c r="AC449" t="s">
        <v>74</v>
      </c>
      <c r="AD449" t="s">
        <v>74</v>
      </c>
      <c r="AE449" t="s">
        <v>74</v>
      </c>
      <c r="AF449" t="s">
        <v>74</v>
      </c>
      <c r="AG449">
        <v>40</v>
      </c>
      <c r="AH449">
        <v>37</v>
      </c>
      <c r="AI449">
        <v>38</v>
      </c>
      <c r="AJ449">
        <v>0</v>
      </c>
      <c r="AK449">
        <v>19</v>
      </c>
      <c r="AL449" t="s">
        <v>1202</v>
      </c>
      <c r="AM449" t="s">
        <v>1203</v>
      </c>
      <c r="AN449" t="s">
        <v>1204</v>
      </c>
      <c r="AO449" t="s">
        <v>7350</v>
      </c>
      <c r="AP449" t="s">
        <v>7351</v>
      </c>
      <c r="AQ449" t="s">
        <v>74</v>
      </c>
      <c r="AR449" t="s">
        <v>7352</v>
      </c>
      <c r="AS449" t="s">
        <v>7353</v>
      </c>
      <c r="AT449" t="s">
        <v>6858</v>
      </c>
      <c r="AU449">
        <v>2007</v>
      </c>
      <c r="AV449">
        <v>26</v>
      </c>
      <c r="AW449">
        <v>5</v>
      </c>
      <c r="AX449" t="s">
        <v>74</v>
      </c>
      <c r="AY449" t="s">
        <v>74</v>
      </c>
      <c r="AZ449" t="s">
        <v>74</v>
      </c>
      <c r="BA449" t="s">
        <v>74</v>
      </c>
      <c r="BB449">
        <v>890</v>
      </c>
      <c r="BC449">
        <v>897</v>
      </c>
      <c r="BD449" t="s">
        <v>74</v>
      </c>
      <c r="BE449" t="s">
        <v>7354</v>
      </c>
      <c r="BF449" t="str">
        <f>HYPERLINK("http://dx.doi.org/10.1897/06-420R.1","http://dx.doi.org/10.1897/06-420R.1")</f>
        <v>http://dx.doi.org/10.1897/06-420R.1</v>
      </c>
      <c r="BG449" t="s">
        <v>74</v>
      </c>
      <c r="BH449" t="s">
        <v>74</v>
      </c>
      <c r="BI449">
        <v>8</v>
      </c>
      <c r="BJ449" t="s">
        <v>7355</v>
      </c>
      <c r="BK449" t="s">
        <v>98</v>
      </c>
      <c r="BL449" t="s">
        <v>7356</v>
      </c>
      <c r="BM449" t="s">
        <v>7357</v>
      </c>
      <c r="BN449">
        <v>17521134</v>
      </c>
      <c r="BO449" t="s">
        <v>74</v>
      </c>
      <c r="BP449" t="s">
        <v>74</v>
      </c>
      <c r="BQ449" t="s">
        <v>74</v>
      </c>
      <c r="BR449" t="s">
        <v>101</v>
      </c>
      <c r="BS449" t="s">
        <v>7358</v>
      </c>
      <c r="BT449" t="str">
        <f>HYPERLINK("https%3A%2F%2Fwww.webofscience.com%2Fwos%2Fwoscc%2Ffull-record%2FWOS:000245749500009","View Full Record in Web of Science")</f>
        <v>View Full Record in Web of Science</v>
      </c>
    </row>
    <row r="450" spans="1:72" x14ac:dyDescent="0.15">
      <c r="A450" t="s">
        <v>72</v>
      </c>
      <c r="B450" t="s">
        <v>7359</v>
      </c>
      <c r="C450" t="s">
        <v>74</v>
      </c>
      <c r="D450" t="s">
        <v>74</v>
      </c>
      <c r="E450" t="s">
        <v>74</v>
      </c>
      <c r="F450" t="s">
        <v>7360</v>
      </c>
      <c r="G450" t="s">
        <v>74</v>
      </c>
      <c r="H450" t="s">
        <v>74</v>
      </c>
      <c r="I450" t="s">
        <v>7361</v>
      </c>
      <c r="J450" t="s">
        <v>7362</v>
      </c>
      <c r="K450" t="s">
        <v>74</v>
      </c>
      <c r="L450" t="s">
        <v>74</v>
      </c>
      <c r="M450" t="s">
        <v>78</v>
      </c>
      <c r="N450" t="s">
        <v>79</v>
      </c>
      <c r="O450" t="s">
        <v>74</v>
      </c>
      <c r="P450" t="s">
        <v>74</v>
      </c>
      <c r="Q450" t="s">
        <v>74</v>
      </c>
      <c r="R450" t="s">
        <v>74</v>
      </c>
      <c r="S450" t="s">
        <v>74</v>
      </c>
      <c r="T450" t="s">
        <v>7363</v>
      </c>
      <c r="U450" t="s">
        <v>7364</v>
      </c>
      <c r="V450" t="s">
        <v>7365</v>
      </c>
      <c r="W450" t="s">
        <v>7366</v>
      </c>
      <c r="X450" t="s">
        <v>7367</v>
      </c>
      <c r="Y450" t="s">
        <v>7368</v>
      </c>
      <c r="Z450" t="s">
        <v>7369</v>
      </c>
      <c r="AA450" t="s">
        <v>74</v>
      </c>
      <c r="AB450" t="s">
        <v>7370</v>
      </c>
      <c r="AC450" t="s">
        <v>74</v>
      </c>
      <c r="AD450" t="s">
        <v>74</v>
      </c>
      <c r="AE450" t="s">
        <v>74</v>
      </c>
      <c r="AF450" t="s">
        <v>74</v>
      </c>
      <c r="AG450">
        <v>49</v>
      </c>
      <c r="AH450">
        <v>23</v>
      </c>
      <c r="AI450">
        <v>24</v>
      </c>
      <c r="AJ450">
        <v>0</v>
      </c>
      <c r="AK450">
        <v>25</v>
      </c>
      <c r="AL450" t="s">
        <v>7371</v>
      </c>
      <c r="AM450" t="s">
        <v>7372</v>
      </c>
      <c r="AN450" t="s">
        <v>7373</v>
      </c>
      <c r="AO450" t="s">
        <v>7374</v>
      </c>
      <c r="AP450" t="s">
        <v>74</v>
      </c>
      <c r="AQ450" t="s">
        <v>74</v>
      </c>
      <c r="AR450" t="s">
        <v>7375</v>
      </c>
      <c r="AS450" t="s">
        <v>7376</v>
      </c>
      <c r="AT450" t="s">
        <v>6858</v>
      </c>
      <c r="AU450">
        <v>2007</v>
      </c>
      <c r="AV450">
        <v>9</v>
      </c>
      <c r="AW450">
        <v>4</v>
      </c>
      <c r="AX450" t="s">
        <v>74</v>
      </c>
      <c r="AY450" t="s">
        <v>74</v>
      </c>
      <c r="AZ450" t="s">
        <v>74</v>
      </c>
      <c r="BA450" t="s">
        <v>74</v>
      </c>
      <c r="BB450">
        <v>651</v>
      </c>
      <c r="BC450">
        <v>662</v>
      </c>
      <c r="BD450" t="s">
        <v>74</v>
      </c>
      <c r="BE450" t="s">
        <v>74</v>
      </c>
      <c r="BF450" t="s">
        <v>74</v>
      </c>
      <c r="BG450" t="s">
        <v>74</v>
      </c>
      <c r="BH450" t="s">
        <v>74</v>
      </c>
      <c r="BI450">
        <v>12</v>
      </c>
      <c r="BJ450" t="s">
        <v>7377</v>
      </c>
      <c r="BK450" t="s">
        <v>98</v>
      </c>
      <c r="BL450" t="s">
        <v>7378</v>
      </c>
      <c r="BM450" t="s">
        <v>7379</v>
      </c>
      <c r="BN450" t="s">
        <v>74</v>
      </c>
      <c r="BO450" t="s">
        <v>74</v>
      </c>
      <c r="BP450" t="s">
        <v>74</v>
      </c>
      <c r="BQ450" t="s">
        <v>74</v>
      </c>
      <c r="BR450" t="s">
        <v>101</v>
      </c>
      <c r="BS450" t="s">
        <v>7380</v>
      </c>
      <c r="BT450" t="str">
        <f>HYPERLINK("https%3A%2F%2Fwww.webofscience.com%2Fwos%2Fwoscc%2Ffull-record%2FWOS:000247437000006","View Full Record in Web of Science")</f>
        <v>View Full Record in Web of Science</v>
      </c>
    </row>
    <row r="451" spans="1:72" x14ac:dyDescent="0.15">
      <c r="A451" t="s">
        <v>72</v>
      </c>
      <c r="B451" t="s">
        <v>7381</v>
      </c>
      <c r="C451" t="s">
        <v>74</v>
      </c>
      <c r="D451" t="s">
        <v>74</v>
      </c>
      <c r="E451" t="s">
        <v>74</v>
      </c>
      <c r="F451" t="s">
        <v>7382</v>
      </c>
      <c r="G451" t="s">
        <v>74</v>
      </c>
      <c r="H451" t="s">
        <v>74</v>
      </c>
      <c r="I451" t="s">
        <v>7383</v>
      </c>
      <c r="J451" t="s">
        <v>7384</v>
      </c>
      <c r="K451" t="s">
        <v>74</v>
      </c>
      <c r="L451" t="s">
        <v>74</v>
      </c>
      <c r="M451" t="s">
        <v>78</v>
      </c>
      <c r="N451" t="s">
        <v>79</v>
      </c>
      <c r="O451" t="s">
        <v>74</v>
      </c>
      <c r="P451" t="s">
        <v>74</v>
      </c>
      <c r="Q451" t="s">
        <v>74</v>
      </c>
      <c r="R451" t="s">
        <v>74</v>
      </c>
      <c r="S451" t="s">
        <v>74</v>
      </c>
      <c r="T451" t="s">
        <v>7385</v>
      </c>
      <c r="U451" t="s">
        <v>7386</v>
      </c>
      <c r="V451" t="s">
        <v>7387</v>
      </c>
      <c r="W451" t="s">
        <v>7388</v>
      </c>
      <c r="X451" t="s">
        <v>7389</v>
      </c>
      <c r="Y451" t="s">
        <v>7390</v>
      </c>
      <c r="Z451" t="s">
        <v>7391</v>
      </c>
      <c r="AA451" t="s">
        <v>74</v>
      </c>
      <c r="AB451" t="s">
        <v>74</v>
      </c>
      <c r="AC451" t="s">
        <v>74</v>
      </c>
      <c r="AD451" t="s">
        <v>74</v>
      </c>
      <c r="AE451" t="s">
        <v>74</v>
      </c>
      <c r="AF451" t="s">
        <v>74</v>
      </c>
      <c r="AG451">
        <v>40</v>
      </c>
      <c r="AH451">
        <v>36</v>
      </c>
      <c r="AI451">
        <v>47</v>
      </c>
      <c r="AJ451">
        <v>0</v>
      </c>
      <c r="AK451">
        <v>9</v>
      </c>
      <c r="AL451" t="s">
        <v>7392</v>
      </c>
      <c r="AM451" t="s">
        <v>7393</v>
      </c>
      <c r="AN451" t="s">
        <v>7394</v>
      </c>
      <c r="AO451" t="s">
        <v>7395</v>
      </c>
      <c r="AP451" t="s">
        <v>7396</v>
      </c>
      <c r="AQ451" t="s">
        <v>74</v>
      </c>
      <c r="AR451" t="s">
        <v>7384</v>
      </c>
      <c r="AS451" t="s">
        <v>7397</v>
      </c>
      <c r="AT451" t="s">
        <v>6858</v>
      </c>
      <c r="AU451">
        <v>2007</v>
      </c>
      <c r="AV451">
        <v>11</v>
      </c>
      <c r="AW451">
        <v>3</v>
      </c>
      <c r="AX451" t="s">
        <v>74</v>
      </c>
      <c r="AY451" t="s">
        <v>74</v>
      </c>
      <c r="AZ451" t="s">
        <v>74</v>
      </c>
      <c r="BA451" t="s">
        <v>74</v>
      </c>
      <c r="BB451">
        <v>517</v>
      </c>
      <c r="BC451">
        <v>526</v>
      </c>
      <c r="BD451" t="s">
        <v>74</v>
      </c>
      <c r="BE451" t="s">
        <v>7398</v>
      </c>
      <c r="BF451" t="str">
        <f>HYPERLINK("http://dx.doi.org/10.1007/s00792-007-0064-3","http://dx.doi.org/10.1007/s00792-007-0064-3")</f>
        <v>http://dx.doi.org/10.1007/s00792-007-0064-3</v>
      </c>
      <c r="BG451" t="s">
        <v>74</v>
      </c>
      <c r="BH451" t="s">
        <v>74</v>
      </c>
      <c r="BI451">
        <v>10</v>
      </c>
      <c r="BJ451" t="s">
        <v>7399</v>
      </c>
      <c r="BK451" t="s">
        <v>98</v>
      </c>
      <c r="BL451" t="s">
        <v>7399</v>
      </c>
      <c r="BM451" t="s">
        <v>7400</v>
      </c>
      <c r="BN451">
        <v>17487446</v>
      </c>
      <c r="BO451" t="s">
        <v>74</v>
      </c>
      <c r="BP451" t="s">
        <v>74</v>
      </c>
      <c r="BQ451" t="s">
        <v>74</v>
      </c>
      <c r="BR451" t="s">
        <v>101</v>
      </c>
      <c r="BS451" t="s">
        <v>7401</v>
      </c>
      <c r="BT451" t="str">
        <f>HYPERLINK("https%3A%2F%2Fwww.webofscience.com%2Fwos%2Fwoscc%2Ffull-record%2FWOS:000246353300011","View Full Record in Web of Science")</f>
        <v>View Full Record in Web of Science</v>
      </c>
    </row>
    <row r="452" spans="1:72" x14ac:dyDescent="0.15">
      <c r="A452" t="s">
        <v>72</v>
      </c>
      <c r="B452" t="s">
        <v>7402</v>
      </c>
      <c r="C452" t="s">
        <v>74</v>
      </c>
      <c r="D452" t="s">
        <v>74</v>
      </c>
      <c r="E452" t="s">
        <v>74</v>
      </c>
      <c r="F452" t="s">
        <v>7403</v>
      </c>
      <c r="G452" t="s">
        <v>74</v>
      </c>
      <c r="H452" t="s">
        <v>74</v>
      </c>
      <c r="I452" t="s">
        <v>7404</v>
      </c>
      <c r="J452" t="s">
        <v>7405</v>
      </c>
      <c r="K452" t="s">
        <v>74</v>
      </c>
      <c r="L452" t="s">
        <v>74</v>
      </c>
      <c r="M452" t="s">
        <v>78</v>
      </c>
      <c r="N452" t="s">
        <v>79</v>
      </c>
      <c r="O452" t="s">
        <v>74</v>
      </c>
      <c r="P452" t="s">
        <v>74</v>
      </c>
      <c r="Q452" t="s">
        <v>74</v>
      </c>
      <c r="R452" t="s">
        <v>74</v>
      </c>
      <c r="S452" t="s">
        <v>74</v>
      </c>
      <c r="T452" t="s">
        <v>7406</v>
      </c>
      <c r="U452" t="s">
        <v>7407</v>
      </c>
      <c r="V452" t="s">
        <v>7408</v>
      </c>
      <c r="W452" t="s">
        <v>7409</v>
      </c>
      <c r="X452" t="s">
        <v>7410</v>
      </c>
      <c r="Y452" t="s">
        <v>7411</v>
      </c>
      <c r="Z452" t="s">
        <v>7412</v>
      </c>
      <c r="AA452" t="s">
        <v>7413</v>
      </c>
      <c r="AB452" t="s">
        <v>7414</v>
      </c>
      <c r="AC452" t="s">
        <v>74</v>
      </c>
      <c r="AD452" t="s">
        <v>74</v>
      </c>
      <c r="AE452" t="s">
        <v>74</v>
      </c>
      <c r="AF452" t="s">
        <v>74</v>
      </c>
      <c r="AG452">
        <v>68</v>
      </c>
      <c r="AH452">
        <v>8</v>
      </c>
      <c r="AI452">
        <v>8</v>
      </c>
      <c r="AJ452">
        <v>0</v>
      </c>
      <c r="AK452">
        <v>12</v>
      </c>
      <c r="AL452" t="s">
        <v>272</v>
      </c>
      <c r="AM452" t="s">
        <v>273</v>
      </c>
      <c r="AN452" t="s">
        <v>274</v>
      </c>
      <c r="AO452" t="s">
        <v>7415</v>
      </c>
      <c r="AP452" t="s">
        <v>7416</v>
      </c>
      <c r="AQ452" t="s">
        <v>74</v>
      </c>
      <c r="AR452" t="s">
        <v>7417</v>
      </c>
      <c r="AS452" t="s">
        <v>7418</v>
      </c>
      <c r="AT452" t="s">
        <v>6858</v>
      </c>
      <c r="AU452">
        <v>2007</v>
      </c>
      <c r="AV452">
        <v>84</v>
      </c>
      <c r="AW452">
        <v>3</v>
      </c>
      <c r="AX452" t="s">
        <v>74</v>
      </c>
      <c r="AY452" t="s">
        <v>74</v>
      </c>
      <c r="AZ452" t="s">
        <v>74</v>
      </c>
      <c r="BA452" t="s">
        <v>74</v>
      </c>
      <c r="BB452">
        <v>328</v>
      </c>
      <c r="BC452">
        <v>337</v>
      </c>
      <c r="BD452" t="s">
        <v>74</v>
      </c>
      <c r="BE452" t="s">
        <v>7419</v>
      </c>
      <c r="BF452" t="str">
        <f>HYPERLINK("http://dx.doi.org/10.1016/j.fishres.2006.11.024","http://dx.doi.org/10.1016/j.fishres.2006.11.024")</f>
        <v>http://dx.doi.org/10.1016/j.fishres.2006.11.024</v>
      </c>
      <c r="BG452" t="s">
        <v>74</v>
      </c>
      <c r="BH452" t="s">
        <v>74</v>
      </c>
      <c r="BI452">
        <v>10</v>
      </c>
      <c r="BJ452" t="s">
        <v>1210</v>
      </c>
      <c r="BK452" t="s">
        <v>98</v>
      </c>
      <c r="BL452" t="s">
        <v>1210</v>
      </c>
      <c r="BM452" t="s">
        <v>7420</v>
      </c>
      <c r="BN452" t="s">
        <v>74</v>
      </c>
      <c r="BO452" t="s">
        <v>74</v>
      </c>
      <c r="BP452" t="s">
        <v>74</v>
      </c>
      <c r="BQ452" t="s">
        <v>74</v>
      </c>
      <c r="BR452" t="s">
        <v>101</v>
      </c>
      <c r="BS452" t="s">
        <v>7421</v>
      </c>
      <c r="BT452" t="str">
        <f>HYPERLINK("https%3A%2F%2Fwww.webofscience.com%2Fwos%2Fwoscc%2Ffull-record%2FWOS:000245823800006","View Full Record in Web of Science")</f>
        <v>View Full Record in Web of Science</v>
      </c>
    </row>
    <row r="453" spans="1:72" x14ac:dyDescent="0.15">
      <c r="A453" t="s">
        <v>72</v>
      </c>
      <c r="B453" t="s">
        <v>7422</v>
      </c>
      <c r="C453" t="s">
        <v>74</v>
      </c>
      <c r="D453" t="s">
        <v>74</v>
      </c>
      <c r="E453" t="s">
        <v>74</v>
      </c>
      <c r="F453" t="s">
        <v>7423</v>
      </c>
      <c r="G453" t="s">
        <v>74</v>
      </c>
      <c r="H453" t="s">
        <v>74</v>
      </c>
      <c r="I453" t="s">
        <v>7424</v>
      </c>
      <c r="J453" t="s">
        <v>7425</v>
      </c>
      <c r="K453" t="s">
        <v>74</v>
      </c>
      <c r="L453" t="s">
        <v>74</v>
      </c>
      <c r="M453" t="s">
        <v>78</v>
      </c>
      <c r="N453" t="s">
        <v>79</v>
      </c>
      <c r="O453" t="s">
        <v>74</v>
      </c>
      <c r="P453" t="s">
        <v>74</v>
      </c>
      <c r="Q453" t="s">
        <v>74</v>
      </c>
      <c r="R453" t="s">
        <v>74</v>
      </c>
      <c r="S453" t="s">
        <v>74</v>
      </c>
      <c r="T453" t="s">
        <v>7426</v>
      </c>
      <c r="U453" t="s">
        <v>7427</v>
      </c>
      <c r="V453" t="s">
        <v>7428</v>
      </c>
      <c r="W453" t="s">
        <v>7429</v>
      </c>
      <c r="X453" t="s">
        <v>7430</v>
      </c>
      <c r="Y453" t="s">
        <v>7431</v>
      </c>
      <c r="Z453" t="s">
        <v>7432</v>
      </c>
      <c r="AA453" t="s">
        <v>7433</v>
      </c>
      <c r="AB453" t="s">
        <v>7434</v>
      </c>
      <c r="AC453" t="s">
        <v>74</v>
      </c>
      <c r="AD453" t="s">
        <v>74</v>
      </c>
      <c r="AE453" t="s">
        <v>74</v>
      </c>
      <c r="AF453" t="s">
        <v>74</v>
      </c>
      <c r="AG453">
        <v>35</v>
      </c>
      <c r="AH453">
        <v>9</v>
      </c>
      <c r="AI453">
        <v>9</v>
      </c>
      <c r="AJ453">
        <v>1</v>
      </c>
      <c r="AK453">
        <v>3</v>
      </c>
      <c r="AL453" t="s">
        <v>1592</v>
      </c>
      <c r="AM453" t="s">
        <v>2052</v>
      </c>
      <c r="AN453" t="s">
        <v>2053</v>
      </c>
      <c r="AO453" t="s">
        <v>7435</v>
      </c>
      <c r="AP453" t="s">
        <v>7436</v>
      </c>
      <c r="AQ453" t="s">
        <v>74</v>
      </c>
      <c r="AR453" t="s">
        <v>7425</v>
      </c>
      <c r="AS453" t="s">
        <v>7437</v>
      </c>
      <c r="AT453" t="s">
        <v>6858</v>
      </c>
      <c r="AU453">
        <v>2007</v>
      </c>
      <c r="AV453">
        <v>130</v>
      </c>
      <c r="AW453">
        <v>1</v>
      </c>
      <c r="AX453" t="s">
        <v>74</v>
      </c>
      <c r="AY453" t="s">
        <v>74</v>
      </c>
      <c r="AZ453" t="s">
        <v>74</v>
      </c>
      <c r="BA453" t="s">
        <v>74</v>
      </c>
      <c r="BB453">
        <v>9</v>
      </c>
      <c r="BC453">
        <v>17</v>
      </c>
      <c r="BD453" t="s">
        <v>74</v>
      </c>
      <c r="BE453" t="s">
        <v>7438</v>
      </c>
      <c r="BF453" t="str">
        <f>HYPERLINK("http://dx.doi.org/10.1007/s10709-006-0015-4","http://dx.doi.org/10.1007/s10709-006-0015-4")</f>
        <v>http://dx.doi.org/10.1007/s10709-006-0015-4</v>
      </c>
      <c r="BG453" t="s">
        <v>74</v>
      </c>
      <c r="BH453" t="s">
        <v>74</v>
      </c>
      <c r="BI453">
        <v>9</v>
      </c>
      <c r="BJ453" t="s">
        <v>744</v>
      </c>
      <c r="BK453" t="s">
        <v>98</v>
      </c>
      <c r="BL453" t="s">
        <v>744</v>
      </c>
      <c r="BM453" t="s">
        <v>7439</v>
      </c>
      <c r="BN453">
        <v>16909334</v>
      </c>
      <c r="BO453" t="s">
        <v>74</v>
      </c>
      <c r="BP453" t="s">
        <v>74</v>
      </c>
      <c r="BQ453" t="s">
        <v>74</v>
      </c>
      <c r="BR453" t="s">
        <v>101</v>
      </c>
      <c r="BS453" t="s">
        <v>7440</v>
      </c>
      <c r="BT453" t="str">
        <f>HYPERLINK("https%3A%2F%2Fwww.webofscience.com%2Fwos%2Fwoscc%2Ffull-record%2FWOS:000245429300002","View Full Record in Web of Science")</f>
        <v>View Full Record in Web of Science</v>
      </c>
    </row>
    <row r="454" spans="1:72" x14ac:dyDescent="0.15">
      <c r="A454" t="s">
        <v>72</v>
      </c>
      <c r="B454" t="s">
        <v>7441</v>
      </c>
      <c r="C454" t="s">
        <v>74</v>
      </c>
      <c r="D454" t="s">
        <v>74</v>
      </c>
      <c r="E454" t="s">
        <v>74</v>
      </c>
      <c r="F454" t="s">
        <v>7442</v>
      </c>
      <c r="G454" t="s">
        <v>74</v>
      </c>
      <c r="H454" t="s">
        <v>74</v>
      </c>
      <c r="I454" t="s">
        <v>7443</v>
      </c>
      <c r="J454" t="s">
        <v>7444</v>
      </c>
      <c r="K454" t="s">
        <v>74</v>
      </c>
      <c r="L454" t="s">
        <v>74</v>
      </c>
      <c r="M454" t="s">
        <v>78</v>
      </c>
      <c r="N454" t="s">
        <v>248</v>
      </c>
      <c r="O454" t="s">
        <v>74</v>
      </c>
      <c r="P454" t="s">
        <v>74</v>
      </c>
      <c r="Q454" t="s">
        <v>74</v>
      </c>
      <c r="R454" t="s">
        <v>74</v>
      </c>
      <c r="S454" t="s">
        <v>74</v>
      </c>
      <c r="T454" t="s">
        <v>7445</v>
      </c>
      <c r="U454" t="s">
        <v>7446</v>
      </c>
      <c r="V454" t="s">
        <v>7447</v>
      </c>
      <c r="W454" t="s">
        <v>7448</v>
      </c>
      <c r="X454" t="s">
        <v>7449</v>
      </c>
      <c r="Y454" t="s">
        <v>7450</v>
      </c>
      <c r="Z454" t="s">
        <v>7451</v>
      </c>
      <c r="AA454" t="s">
        <v>7452</v>
      </c>
      <c r="AB454" t="s">
        <v>7453</v>
      </c>
      <c r="AC454" t="s">
        <v>74</v>
      </c>
      <c r="AD454" t="s">
        <v>74</v>
      </c>
      <c r="AE454" t="s">
        <v>74</v>
      </c>
      <c r="AF454" t="s">
        <v>74</v>
      </c>
      <c r="AG454">
        <v>122</v>
      </c>
      <c r="AH454">
        <v>41</v>
      </c>
      <c r="AI454">
        <v>41</v>
      </c>
      <c r="AJ454">
        <v>1</v>
      </c>
      <c r="AK454">
        <v>14</v>
      </c>
      <c r="AL454" t="s">
        <v>7454</v>
      </c>
      <c r="AM454" t="s">
        <v>7455</v>
      </c>
      <c r="AN454" t="s">
        <v>7456</v>
      </c>
      <c r="AO454" t="s">
        <v>7457</v>
      </c>
      <c r="AP454" t="s">
        <v>7458</v>
      </c>
      <c r="AQ454" t="s">
        <v>74</v>
      </c>
      <c r="AR454" t="s">
        <v>7459</v>
      </c>
      <c r="AS454" t="s">
        <v>7460</v>
      </c>
      <c r="AT454" t="s">
        <v>6895</v>
      </c>
      <c r="AU454">
        <v>2007</v>
      </c>
      <c r="AV454">
        <v>40</v>
      </c>
      <c r="AW454">
        <v>3</v>
      </c>
      <c r="AX454" t="s">
        <v>74</v>
      </c>
      <c r="AY454" t="s">
        <v>74</v>
      </c>
      <c r="AZ454" t="s">
        <v>74</v>
      </c>
      <c r="BA454" t="s">
        <v>74</v>
      </c>
      <c r="BB454">
        <v>251</v>
      </c>
      <c r="BC454">
        <v>265</v>
      </c>
      <c r="BD454" t="s">
        <v>74</v>
      </c>
      <c r="BE454" t="s">
        <v>7461</v>
      </c>
      <c r="BF454" t="str">
        <f>HYPERLINK("http://dx.doi.org/10.1016/j.geobios.2007.02.003","http://dx.doi.org/10.1016/j.geobios.2007.02.003")</f>
        <v>http://dx.doi.org/10.1016/j.geobios.2007.02.003</v>
      </c>
      <c r="BG454" t="s">
        <v>74</v>
      </c>
      <c r="BH454" t="s">
        <v>74</v>
      </c>
      <c r="BI454">
        <v>15</v>
      </c>
      <c r="BJ454" t="s">
        <v>7462</v>
      </c>
      <c r="BK454" t="s">
        <v>98</v>
      </c>
      <c r="BL454" t="s">
        <v>7462</v>
      </c>
      <c r="BM454" t="s">
        <v>7463</v>
      </c>
      <c r="BN454" t="s">
        <v>74</v>
      </c>
      <c r="BO454" t="s">
        <v>74</v>
      </c>
      <c r="BP454" t="s">
        <v>74</v>
      </c>
      <c r="BQ454" t="s">
        <v>74</v>
      </c>
      <c r="BR454" t="s">
        <v>101</v>
      </c>
      <c r="BS454" t="s">
        <v>7464</v>
      </c>
      <c r="BT454" t="str">
        <f>HYPERLINK("https%3A%2F%2Fwww.webofscience.com%2Fwos%2Fwoscc%2Ffull-record%2FWOS:000247730300003","View Full Record in Web of Science")</f>
        <v>View Full Record in Web of Science</v>
      </c>
    </row>
    <row r="455" spans="1:72" x14ac:dyDescent="0.15">
      <c r="A455" t="s">
        <v>72</v>
      </c>
      <c r="B455" t="s">
        <v>7465</v>
      </c>
      <c r="C455" t="s">
        <v>74</v>
      </c>
      <c r="D455" t="s">
        <v>74</v>
      </c>
      <c r="E455" t="s">
        <v>74</v>
      </c>
      <c r="F455" t="s">
        <v>7466</v>
      </c>
      <c r="G455" t="s">
        <v>74</v>
      </c>
      <c r="H455" t="s">
        <v>74</v>
      </c>
      <c r="I455" t="s">
        <v>7467</v>
      </c>
      <c r="J455" t="s">
        <v>1766</v>
      </c>
      <c r="K455" t="s">
        <v>74</v>
      </c>
      <c r="L455" t="s">
        <v>74</v>
      </c>
      <c r="M455" t="s">
        <v>78</v>
      </c>
      <c r="N455" t="s">
        <v>79</v>
      </c>
      <c r="O455" t="s">
        <v>74</v>
      </c>
      <c r="P455" t="s">
        <v>74</v>
      </c>
      <c r="Q455" t="s">
        <v>74</v>
      </c>
      <c r="R455" t="s">
        <v>74</v>
      </c>
      <c r="S455" t="s">
        <v>74</v>
      </c>
      <c r="T455" t="s">
        <v>74</v>
      </c>
      <c r="U455" t="s">
        <v>7468</v>
      </c>
      <c r="V455" t="s">
        <v>7469</v>
      </c>
      <c r="W455" t="s">
        <v>7470</v>
      </c>
      <c r="X455" t="s">
        <v>7471</v>
      </c>
      <c r="Y455" t="s">
        <v>7472</v>
      </c>
      <c r="Z455" t="s">
        <v>7473</v>
      </c>
      <c r="AA455" t="s">
        <v>7474</v>
      </c>
      <c r="AB455" t="s">
        <v>7475</v>
      </c>
      <c r="AC455" t="s">
        <v>74</v>
      </c>
      <c r="AD455" t="s">
        <v>74</v>
      </c>
      <c r="AE455" t="s">
        <v>74</v>
      </c>
      <c r="AF455" t="s">
        <v>74</v>
      </c>
      <c r="AG455">
        <v>77</v>
      </c>
      <c r="AH455">
        <v>33</v>
      </c>
      <c r="AI455">
        <v>39</v>
      </c>
      <c r="AJ455">
        <v>1</v>
      </c>
      <c r="AK455">
        <v>35</v>
      </c>
      <c r="AL455" t="s">
        <v>1503</v>
      </c>
      <c r="AM455" t="s">
        <v>1504</v>
      </c>
      <c r="AN455" t="s">
        <v>1505</v>
      </c>
      <c r="AO455" t="s">
        <v>1775</v>
      </c>
      <c r="AP455" t="s">
        <v>1790</v>
      </c>
      <c r="AQ455" t="s">
        <v>74</v>
      </c>
      <c r="AR455" t="s">
        <v>1776</v>
      </c>
      <c r="AS455" t="s">
        <v>1777</v>
      </c>
      <c r="AT455" t="s">
        <v>7476</v>
      </c>
      <c r="AU455">
        <v>2007</v>
      </c>
      <c r="AV455">
        <v>71</v>
      </c>
      <c r="AW455">
        <v>9</v>
      </c>
      <c r="AX455" t="s">
        <v>74</v>
      </c>
      <c r="AY455" t="s">
        <v>74</v>
      </c>
      <c r="AZ455" t="s">
        <v>74</v>
      </c>
      <c r="BA455" t="s">
        <v>74</v>
      </c>
      <c r="BB455">
        <v>2326</v>
      </c>
      <c r="BC455">
        <v>2343</v>
      </c>
      <c r="BD455" t="s">
        <v>74</v>
      </c>
      <c r="BE455" t="s">
        <v>7477</v>
      </c>
      <c r="BF455" t="str">
        <f>HYPERLINK("http://dx.doi.org/10.1016/j.gca.2007.01.026","http://dx.doi.org/10.1016/j.gca.2007.01.026")</f>
        <v>http://dx.doi.org/10.1016/j.gca.2007.01.026</v>
      </c>
      <c r="BG455" t="s">
        <v>74</v>
      </c>
      <c r="BH455" t="s">
        <v>74</v>
      </c>
      <c r="BI455">
        <v>18</v>
      </c>
      <c r="BJ455" t="s">
        <v>688</v>
      </c>
      <c r="BK455" t="s">
        <v>98</v>
      </c>
      <c r="BL455" t="s">
        <v>688</v>
      </c>
      <c r="BM455" t="s">
        <v>7478</v>
      </c>
      <c r="BN455" t="s">
        <v>74</v>
      </c>
      <c r="BO455" t="s">
        <v>223</v>
      </c>
      <c r="BP455" t="s">
        <v>74</v>
      </c>
      <c r="BQ455" t="s">
        <v>74</v>
      </c>
      <c r="BR455" t="s">
        <v>101</v>
      </c>
      <c r="BS455" t="s">
        <v>7479</v>
      </c>
      <c r="BT455" t="str">
        <f>HYPERLINK("https%3A%2F%2Fwww.webofscience.com%2Fwos%2Fwoscc%2Ffull-record%2FWOS:000246165800012","View Full Record in Web of Science")</f>
        <v>View Full Record in Web of Science</v>
      </c>
    </row>
    <row r="456" spans="1:72" x14ac:dyDescent="0.15">
      <c r="A456" t="s">
        <v>72</v>
      </c>
      <c r="B456" t="s">
        <v>7480</v>
      </c>
      <c r="C456" t="s">
        <v>74</v>
      </c>
      <c r="D456" t="s">
        <v>74</v>
      </c>
      <c r="E456" t="s">
        <v>74</v>
      </c>
      <c r="F456" t="s">
        <v>7481</v>
      </c>
      <c r="G456" t="s">
        <v>74</v>
      </c>
      <c r="H456" t="s">
        <v>74</v>
      </c>
      <c r="I456" t="s">
        <v>7482</v>
      </c>
      <c r="J456" t="s">
        <v>1766</v>
      </c>
      <c r="K456" t="s">
        <v>74</v>
      </c>
      <c r="L456" t="s">
        <v>74</v>
      </c>
      <c r="M456" t="s">
        <v>78</v>
      </c>
      <c r="N456" t="s">
        <v>79</v>
      </c>
      <c r="O456" t="s">
        <v>74</v>
      </c>
      <c r="P456" t="s">
        <v>74</v>
      </c>
      <c r="Q456" t="s">
        <v>74</v>
      </c>
      <c r="R456" t="s">
        <v>74</v>
      </c>
      <c r="S456" t="s">
        <v>74</v>
      </c>
      <c r="T456" t="s">
        <v>74</v>
      </c>
      <c r="U456" t="s">
        <v>7483</v>
      </c>
      <c r="V456" t="s">
        <v>7484</v>
      </c>
      <c r="W456" t="s">
        <v>7485</v>
      </c>
      <c r="X456" t="s">
        <v>7486</v>
      </c>
      <c r="Y456" t="s">
        <v>7487</v>
      </c>
      <c r="Z456" t="s">
        <v>7488</v>
      </c>
      <c r="AA456" t="s">
        <v>7489</v>
      </c>
      <c r="AB456" t="s">
        <v>7490</v>
      </c>
      <c r="AC456" t="s">
        <v>74</v>
      </c>
      <c r="AD456" t="s">
        <v>74</v>
      </c>
      <c r="AE456" t="s">
        <v>74</v>
      </c>
      <c r="AF456" t="s">
        <v>74</v>
      </c>
      <c r="AG456">
        <v>79</v>
      </c>
      <c r="AH456">
        <v>86</v>
      </c>
      <c r="AI456">
        <v>93</v>
      </c>
      <c r="AJ456">
        <v>2</v>
      </c>
      <c r="AK456">
        <v>29</v>
      </c>
      <c r="AL456" t="s">
        <v>1503</v>
      </c>
      <c r="AM456" t="s">
        <v>1504</v>
      </c>
      <c r="AN456" t="s">
        <v>1505</v>
      </c>
      <c r="AO456" t="s">
        <v>1775</v>
      </c>
      <c r="AP456" t="s">
        <v>1790</v>
      </c>
      <c r="AQ456" t="s">
        <v>74</v>
      </c>
      <c r="AR456" t="s">
        <v>1776</v>
      </c>
      <c r="AS456" t="s">
        <v>1777</v>
      </c>
      <c r="AT456" t="s">
        <v>7476</v>
      </c>
      <c r="AU456">
        <v>2007</v>
      </c>
      <c r="AV456">
        <v>71</v>
      </c>
      <c r="AW456">
        <v>9</v>
      </c>
      <c r="AX456" t="s">
        <v>74</v>
      </c>
      <c r="AY456" t="s">
        <v>74</v>
      </c>
      <c r="AZ456" t="s">
        <v>74</v>
      </c>
      <c r="BA456" t="s">
        <v>74</v>
      </c>
      <c r="BB456">
        <v>2344</v>
      </c>
      <c r="BC456">
        <v>2360</v>
      </c>
      <c r="BD456" t="s">
        <v>74</v>
      </c>
      <c r="BE456" t="s">
        <v>7491</v>
      </c>
      <c r="BF456" t="str">
        <f>HYPERLINK("http://dx.doi.org/10.1016/j.gca.2007.02.001","http://dx.doi.org/10.1016/j.gca.2007.02.001")</f>
        <v>http://dx.doi.org/10.1016/j.gca.2007.02.001</v>
      </c>
      <c r="BG456" t="s">
        <v>74</v>
      </c>
      <c r="BH456" t="s">
        <v>74</v>
      </c>
      <c r="BI456">
        <v>17</v>
      </c>
      <c r="BJ456" t="s">
        <v>688</v>
      </c>
      <c r="BK456" t="s">
        <v>98</v>
      </c>
      <c r="BL456" t="s">
        <v>688</v>
      </c>
      <c r="BM456" t="s">
        <v>7478</v>
      </c>
      <c r="BN456" t="s">
        <v>74</v>
      </c>
      <c r="BO456" t="s">
        <v>74</v>
      </c>
      <c r="BP456" t="s">
        <v>74</v>
      </c>
      <c r="BQ456" t="s">
        <v>74</v>
      </c>
      <c r="BR456" t="s">
        <v>101</v>
      </c>
      <c r="BS456" t="s">
        <v>7492</v>
      </c>
      <c r="BT456" t="str">
        <f>HYPERLINK("https%3A%2F%2Fwww.webofscience.com%2Fwos%2Fwoscc%2Ffull-record%2FWOS:000246165800013","View Full Record in Web of Science")</f>
        <v>View Full Record in Web of Science</v>
      </c>
    </row>
    <row r="457" spans="1:72" x14ac:dyDescent="0.15">
      <c r="A457" t="s">
        <v>72</v>
      </c>
      <c r="B457" t="s">
        <v>7493</v>
      </c>
      <c r="C457" t="s">
        <v>74</v>
      </c>
      <c r="D457" t="s">
        <v>74</v>
      </c>
      <c r="E457" t="s">
        <v>74</v>
      </c>
      <c r="F457" t="s">
        <v>7494</v>
      </c>
      <c r="G457" t="s">
        <v>74</v>
      </c>
      <c r="H457" t="s">
        <v>74</v>
      </c>
      <c r="I457" t="s">
        <v>7495</v>
      </c>
      <c r="J457" t="s">
        <v>1832</v>
      </c>
      <c r="K457" t="s">
        <v>74</v>
      </c>
      <c r="L457" t="s">
        <v>74</v>
      </c>
      <c r="M457" t="s">
        <v>78</v>
      </c>
      <c r="N457" t="s">
        <v>79</v>
      </c>
      <c r="O457" t="s">
        <v>74</v>
      </c>
      <c r="P457" t="s">
        <v>74</v>
      </c>
      <c r="Q457" t="s">
        <v>74</v>
      </c>
      <c r="R457" t="s">
        <v>74</v>
      </c>
      <c r="S457" t="s">
        <v>74</v>
      </c>
      <c r="T457" t="s">
        <v>7496</v>
      </c>
      <c r="U457" t="s">
        <v>7497</v>
      </c>
      <c r="V457" t="s">
        <v>7498</v>
      </c>
      <c r="W457" t="s">
        <v>7499</v>
      </c>
      <c r="X457" t="s">
        <v>7500</v>
      </c>
      <c r="Y457" t="s">
        <v>7501</v>
      </c>
      <c r="Z457" t="s">
        <v>74</v>
      </c>
      <c r="AA457" t="s">
        <v>74</v>
      </c>
      <c r="AB457" t="s">
        <v>7502</v>
      </c>
      <c r="AC457" t="s">
        <v>74</v>
      </c>
      <c r="AD457" t="s">
        <v>74</v>
      </c>
      <c r="AE457" t="s">
        <v>74</v>
      </c>
      <c r="AF457" t="s">
        <v>74</v>
      </c>
      <c r="AG457">
        <v>27</v>
      </c>
      <c r="AH457">
        <v>53</v>
      </c>
      <c r="AI457">
        <v>59</v>
      </c>
      <c r="AJ457">
        <v>0</v>
      </c>
      <c r="AK457">
        <v>7</v>
      </c>
      <c r="AL457" t="s">
        <v>1840</v>
      </c>
      <c r="AM457" t="s">
        <v>1263</v>
      </c>
      <c r="AN457" t="s">
        <v>1841</v>
      </c>
      <c r="AO457" t="s">
        <v>1842</v>
      </c>
      <c r="AP457" t="s">
        <v>1843</v>
      </c>
      <c r="AQ457" t="s">
        <v>74</v>
      </c>
      <c r="AR457" t="s">
        <v>1832</v>
      </c>
      <c r="AS457" t="s">
        <v>152</v>
      </c>
      <c r="AT457" t="s">
        <v>6858</v>
      </c>
      <c r="AU457">
        <v>2007</v>
      </c>
      <c r="AV457">
        <v>35</v>
      </c>
      <c r="AW457">
        <v>5</v>
      </c>
      <c r="AX457" t="s">
        <v>74</v>
      </c>
      <c r="AY457" t="s">
        <v>74</v>
      </c>
      <c r="AZ457" t="s">
        <v>74</v>
      </c>
      <c r="BA457" t="s">
        <v>74</v>
      </c>
      <c r="BB457">
        <v>411</v>
      </c>
      <c r="BC457">
        <v>414</v>
      </c>
      <c r="BD457" t="s">
        <v>74</v>
      </c>
      <c r="BE457" t="s">
        <v>7503</v>
      </c>
      <c r="BF457" t="str">
        <f>HYPERLINK("http://dx.doi.org/10.1130/G23432A.1","http://dx.doi.org/10.1130/G23432A.1")</f>
        <v>http://dx.doi.org/10.1130/G23432A.1</v>
      </c>
      <c r="BG457" t="s">
        <v>74</v>
      </c>
      <c r="BH457" t="s">
        <v>74</v>
      </c>
      <c r="BI457">
        <v>4</v>
      </c>
      <c r="BJ457" t="s">
        <v>152</v>
      </c>
      <c r="BK457" t="s">
        <v>98</v>
      </c>
      <c r="BL457" t="s">
        <v>152</v>
      </c>
      <c r="BM457" t="s">
        <v>7504</v>
      </c>
      <c r="BN457" t="s">
        <v>74</v>
      </c>
      <c r="BO457" t="s">
        <v>74</v>
      </c>
      <c r="BP457" t="s">
        <v>74</v>
      </c>
      <c r="BQ457" t="s">
        <v>74</v>
      </c>
      <c r="BR457" t="s">
        <v>101</v>
      </c>
      <c r="BS457" t="s">
        <v>7505</v>
      </c>
      <c r="BT457" t="str">
        <f>HYPERLINK("https%3A%2F%2Fwww.webofscience.com%2Fwos%2Fwoscc%2Ffull-record%2FWOS:000250253900007","View Full Record in Web of Science")</f>
        <v>View Full Record in Web of Science</v>
      </c>
    </row>
    <row r="458" spans="1:72" x14ac:dyDescent="0.15">
      <c r="A458" t="s">
        <v>72</v>
      </c>
      <c r="B458" t="s">
        <v>7506</v>
      </c>
      <c r="C458" t="s">
        <v>74</v>
      </c>
      <c r="D458" t="s">
        <v>74</v>
      </c>
      <c r="E458" t="s">
        <v>74</v>
      </c>
      <c r="F458" t="s">
        <v>7507</v>
      </c>
      <c r="G458" t="s">
        <v>74</v>
      </c>
      <c r="H458" t="s">
        <v>74</v>
      </c>
      <c r="I458" t="s">
        <v>7508</v>
      </c>
      <c r="J458" t="s">
        <v>1832</v>
      </c>
      <c r="K458" t="s">
        <v>74</v>
      </c>
      <c r="L458" t="s">
        <v>74</v>
      </c>
      <c r="M458" t="s">
        <v>78</v>
      </c>
      <c r="N458" t="s">
        <v>79</v>
      </c>
      <c r="O458" t="s">
        <v>74</v>
      </c>
      <c r="P458" t="s">
        <v>74</v>
      </c>
      <c r="Q458" t="s">
        <v>74</v>
      </c>
      <c r="R458" t="s">
        <v>74</v>
      </c>
      <c r="S458" t="s">
        <v>74</v>
      </c>
      <c r="T458" t="s">
        <v>7509</v>
      </c>
      <c r="U458" t="s">
        <v>7510</v>
      </c>
      <c r="V458" t="s">
        <v>7511</v>
      </c>
      <c r="W458" t="s">
        <v>7512</v>
      </c>
      <c r="X458" t="s">
        <v>7513</v>
      </c>
      <c r="Y458" t="s">
        <v>7514</v>
      </c>
      <c r="Z458" t="s">
        <v>74</v>
      </c>
      <c r="AA458" t="s">
        <v>74</v>
      </c>
      <c r="AB458" t="s">
        <v>74</v>
      </c>
      <c r="AC458" t="s">
        <v>74</v>
      </c>
      <c r="AD458" t="s">
        <v>74</v>
      </c>
      <c r="AE458" t="s">
        <v>74</v>
      </c>
      <c r="AF458" t="s">
        <v>74</v>
      </c>
      <c r="AG458">
        <v>16</v>
      </c>
      <c r="AH458">
        <v>29</v>
      </c>
      <c r="AI458">
        <v>34</v>
      </c>
      <c r="AJ458">
        <v>0</v>
      </c>
      <c r="AK458">
        <v>13</v>
      </c>
      <c r="AL458" t="s">
        <v>1840</v>
      </c>
      <c r="AM458" t="s">
        <v>1263</v>
      </c>
      <c r="AN458" t="s">
        <v>1841</v>
      </c>
      <c r="AO458" t="s">
        <v>1842</v>
      </c>
      <c r="AP458" t="s">
        <v>74</v>
      </c>
      <c r="AQ458" t="s">
        <v>74</v>
      </c>
      <c r="AR458" t="s">
        <v>1832</v>
      </c>
      <c r="AS458" t="s">
        <v>152</v>
      </c>
      <c r="AT458" t="s">
        <v>6858</v>
      </c>
      <c r="AU458">
        <v>2007</v>
      </c>
      <c r="AV458">
        <v>35</v>
      </c>
      <c r="AW458">
        <v>5</v>
      </c>
      <c r="AX458" t="s">
        <v>74</v>
      </c>
      <c r="AY458" t="s">
        <v>74</v>
      </c>
      <c r="AZ458" t="s">
        <v>74</v>
      </c>
      <c r="BA458" t="s">
        <v>74</v>
      </c>
      <c r="BB458">
        <v>467</v>
      </c>
      <c r="BC458">
        <v>470</v>
      </c>
      <c r="BD458" t="s">
        <v>74</v>
      </c>
      <c r="BE458" t="s">
        <v>7515</v>
      </c>
      <c r="BF458" t="str">
        <f>HYPERLINK("http://dx.doi.org/10.1130/G23387A.1","http://dx.doi.org/10.1130/G23387A.1")</f>
        <v>http://dx.doi.org/10.1130/G23387A.1</v>
      </c>
      <c r="BG458" t="s">
        <v>74</v>
      </c>
      <c r="BH458" t="s">
        <v>74</v>
      </c>
      <c r="BI458">
        <v>4</v>
      </c>
      <c r="BJ458" t="s">
        <v>152</v>
      </c>
      <c r="BK458" t="s">
        <v>98</v>
      </c>
      <c r="BL458" t="s">
        <v>152</v>
      </c>
      <c r="BM458" t="s">
        <v>7504</v>
      </c>
      <c r="BN458" t="s">
        <v>74</v>
      </c>
      <c r="BO458" t="s">
        <v>74</v>
      </c>
      <c r="BP458" t="s">
        <v>74</v>
      </c>
      <c r="BQ458" t="s">
        <v>74</v>
      </c>
      <c r="BR458" t="s">
        <v>101</v>
      </c>
      <c r="BS458" t="s">
        <v>7516</v>
      </c>
      <c r="BT458" t="str">
        <f>HYPERLINK("https%3A%2F%2Fwww.webofscience.com%2Fwos%2Fwoscc%2Ffull-record%2FWOS:000250253900021","View Full Record in Web of Science")</f>
        <v>View Full Record in Web of Science</v>
      </c>
    </row>
    <row r="459" spans="1:72" x14ac:dyDescent="0.15">
      <c r="A459" t="s">
        <v>72</v>
      </c>
      <c r="B459" t="s">
        <v>7517</v>
      </c>
      <c r="C459" t="s">
        <v>74</v>
      </c>
      <c r="D459" t="s">
        <v>74</v>
      </c>
      <c r="E459" t="s">
        <v>74</v>
      </c>
      <c r="F459" t="s">
        <v>7518</v>
      </c>
      <c r="G459" t="s">
        <v>74</v>
      </c>
      <c r="H459" t="s">
        <v>74</v>
      </c>
      <c r="I459" t="s">
        <v>7519</v>
      </c>
      <c r="J459" t="s">
        <v>130</v>
      </c>
      <c r="K459" t="s">
        <v>74</v>
      </c>
      <c r="L459" t="s">
        <v>74</v>
      </c>
      <c r="M459" t="s">
        <v>78</v>
      </c>
      <c r="N459" t="s">
        <v>79</v>
      </c>
      <c r="O459" t="s">
        <v>74</v>
      </c>
      <c r="P459" t="s">
        <v>74</v>
      </c>
      <c r="Q459" t="s">
        <v>74</v>
      </c>
      <c r="R459" t="s">
        <v>74</v>
      </c>
      <c r="S459" t="s">
        <v>74</v>
      </c>
      <c r="T459" t="s">
        <v>74</v>
      </c>
      <c r="U459" t="s">
        <v>7520</v>
      </c>
      <c r="V459" t="s">
        <v>7521</v>
      </c>
      <c r="W459" t="s">
        <v>7522</v>
      </c>
      <c r="X459" t="s">
        <v>7523</v>
      </c>
      <c r="Y459" t="s">
        <v>7524</v>
      </c>
      <c r="Z459" t="s">
        <v>7525</v>
      </c>
      <c r="AA459" t="s">
        <v>7526</v>
      </c>
      <c r="AB459" t="s">
        <v>7527</v>
      </c>
      <c r="AC459" t="s">
        <v>74</v>
      </c>
      <c r="AD459" t="s">
        <v>74</v>
      </c>
      <c r="AE459" t="s">
        <v>74</v>
      </c>
      <c r="AF459" t="s">
        <v>74</v>
      </c>
      <c r="AG459">
        <v>28</v>
      </c>
      <c r="AH459">
        <v>1196</v>
      </c>
      <c r="AI459">
        <v>1428</v>
      </c>
      <c r="AJ459">
        <v>13</v>
      </c>
      <c r="AK459">
        <v>62</v>
      </c>
      <c r="AL459" t="s">
        <v>141</v>
      </c>
      <c r="AM459" t="s">
        <v>142</v>
      </c>
      <c r="AN459" t="s">
        <v>143</v>
      </c>
      <c r="AO459" t="s">
        <v>144</v>
      </c>
      <c r="AP459" t="s">
        <v>145</v>
      </c>
      <c r="AQ459" t="s">
        <v>74</v>
      </c>
      <c r="AR459" t="s">
        <v>146</v>
      </c>
      <c r="AS459" t="s">
        <v>147</v>
      </c>
      <c r="AT459" t="s">
        <v>7476</v>
      </c>
      <c r="AU459">
        <v>2007</v>
      </c>
      <c r="AV459">
        <v>34</v>
      </c>
      <c r="AW459">
        <v>9</v>
      </c>
      <c r="AX459" t="s">
        <v>74</v>
      </c>
      <c r="AY459" t="s">
        <v>74</v>
      </c>
      <c r="AZ459" t="s">
        <v>74</v>
      </c>
      <c r="BA459" t="s">
        <v>74</v>
      </c>
      <c r="BB459" t="s">
        <v>74</v>
      </c>
      <c r="BC459" t="s">
        <v>74</v>
      </c>
      <c r="BD459" t="s">
        <v>7528</v>
      </c>
      <c r="BE459" t="s">
        <v>7529</v>
      </c>
      <c r="BF459" t="str">
        <f>HYPERLINK("http://dx.doi.org/10.1029/2007GL029703","http://dx.doi.org/10.1029/2007GL029703")</f>
        <v>http://dx.doi.org/10.1029/2007GL029703</v>
      </c>
      <c r="BG459" t="s">
        <v>74</v>
      </c>
      <c r="BH459" t="s">
        <v>74</v>
      </c>
      <c r="BI459">
        <v>5</v>
      </c>
      <c r="BJ459" t="s">
        <v>151</v>
      </c>
      <c r="BK459" t="s">
        <v>98</v>
      </c>
      <c r="BL459" t="s">
        <v>152</v>
      </c>
      <c r="BM459" t="s">
        <v>7530</v>
      </c>
      <c r="BN459" t="s">
        <v>74</v>
      </c>
      <c r="BO459" t="s">
        <v>154</v>
      </c>
      <c r="BP459" t="s">
        <v>74</v>
      </c>
      <c r="BQ459" t="s">
        <v>74</v>
      </c>
      <c r="BR459" t="s">
        <v>101</v>
      </c>
      <c r="BS459" t="s">
        <v>7531</v>
      </c>
      <c r="BT459" t="str">
        <f>HYPERLINK("https%3A%2F%2Fwww.webofscience.com%2Fwos%2Fwoscc%2Ffull-record%2FWOS:000246305800003","View Full Record in Web of Science")</f>
        <v>View Full Record in Web of Science</v>
      </c>
    </row>
    <row r="460" spans="1:72" x14ac:dyDescent="0.15">
      <c r="A460" t="s">
        <v>72</v>
      </c>
      <c r="B460" t="s">
        <v>7532</v>
      </c>
      <c r="C460" t="s">
        <v>74</v>
      </c>
      <c r="D460" t="s">
        <v>74</v>
      </c>
      <c r="E460" t="s">
        <v>74</v>
      </c>
      <c r="F460" t="s">
        <v>7533</v>
      </c>
      <c r="G460" t="s">
        <v>74</v>
      </c>
      <c r="H460" t="s">
        <v>74</v>
      </c>
      <c r="I460" t="s">
        <v>7534</v>
      </c>
      <c r="J460" t="s">
        <v>1925</v>
      </c>
      <c r="K460" t="s">
        <v>74</v>
      </c>
      <c r="L460" t="s">
        <v>74</v>
      </c>
      <c r="M460" t="s">
        <v>78</v>
      </c>
      <c r="N460" t="s">
        <v>79</v>
      </c>
      <c r="O460" t="s">
        <v>74</v>
      </c>
      <c r="P460" t="s">
        <v>74</v>
      </c>
      <c r="Q460" t="s">
        <v>74</v>
      </c>
      <c r="R460" t="s">
        <v>74</v>
      </c>
      <c r="S460" t="s">
        <v>74</v>
      </c>
      <c r="T460" t="s">
        <v>74</v>
      </c>
      <c r="U460" t="s">
        <v>7535</v>
      </c>
      <c r="V460" t="s">
        <v>7536</v>
      </c>
      <c r="W460" t="s">
        <v>7537</v>
      </c>
      <c r="X460" t="s">
        <v>7538</v>
      </c>
      <c r="Y460" t="s">
        <v>7539</v>
      </c>
      <c r="Z460" t="s">
        <v>7540</v>
      </c>
      <c r="AA460" t="s">
        <v>7541</v>
      </c>
      <c r="AB460" t="s">
        <v>7542</v>
      </c>
      <c r="AC460" t="s">
        <v>74</v>
      </c>
      <c r="AD460" t="s">
        <v>74</v>
      </c>
      <c r="AE460" t="s">
        <v>74</v>
      </c>
      <c r="AF460" t="s">
        <v>74</v>
      </c>
      <c r="AG460">
        <v>24</v>
      </c>
      <c r="AH460">
        <v>19</v>
      </c>
      <c r="AI460">
        <v>19</v>
      </c>
      <c r="AJ460">
        <v>0</v>
      </c>
      <c r="AK460">
        <v>7</v>
      </c>
      <c r="AL460" t="s">
        <v>1677</v>
      </c>
      <c r="AM460" t="s">
        <v>1593</v>
      </c>
      <c r="AN460" t="s">
        <v>1678</v>
      </c>
      <c r="AO460" t="s">
        <v>1933</v>
      </c>
      <c r="AP460" t="s">
        <v>74</v>
      </c>
      <c r="AQ460" t="s">
        <v>74</v>
      </c>
      <c r="AR460" t="s">
        <v>1935</v>
      </c>
      <c r="AS460" t="s">
        <v>1936</v>
      </c>
      <c r="AT460" t="s">
        <v>6895</v>
      </c>
      <c r="AU460">
        <v>2007</v>
      </c>
      <c r="AV460">
        <v>43</v>
      </c>
      <c r="AW460">
        <v>3</v>
      </c>
      <c r="AX460" t="s">
        <v>74</v>
      </c>
      <c r="AY460" t="s">
        <v>74</v>
      </c>
      <c r="AZ460" t="s">
        <v>74</v>
      </c>
      <c r="BA460" t="s">
        <v>74</v>
      </c>
      <c r="BB460">
        <v>259</v>
      </c>
      <c r="BC460">
        <v>265</v>
      </c>
      <c r="BD460" t="s">
        <v>74</v>
      </c>
      <c r="BE460" t="s">
        <v>7543</v>
      </c>
      <c r="BF460" t="str">
        <f>HYPERLINK("http://dx.doi.org/10.1134/S0001433807030012","http://dx.doi.org/10.1134/S0001433807030012")</f>
        <v>http://dx.doi.org/10.1134/S0001433807030012</v>
      </c>
      <c r="BG460" t="s">
        <v>74</v>
      </c>
      <c r="BH460" t="s">
        <v>74</v>
      </c>
      <c r="BI460">
        <v>7</v>
      </c>
      <c r="BJ460" t="s">
        <v>1938</v>
      </c>
      <c r="BK460" t="s">
        <v>98</v>
      </c>
      <c r="BL460" t="s">
        <v>1938</v>
      </c>
      <c r="BM460" t="s">
        <v>7544</v>
      </c>
      <c r="BN460" t="s">
        <v>74</v>
      </c>
      <c r="BO460" t="s">
        <v>74</v>
      </c>
      <c r="BP460" t="s">
        <v>74</v>
      </c>
      <c r="BQ460" t="s">
        <v>74</v>
      </c>
      <c r="BR460" t="s">
        <v>101</v>
      </c>
      <c r="BS460" t="s">
        <v>7545</v>
      </c>
      <c r="BT460" t="str">
        <f>HYPERLINK("https%3A%2F%2Fwww.webofscience.com%2Fwos%2Fwoscc%2Ffull-record%2FWOS:000250869600001","View Full Record in Web of Science")</f>
        <v>View Full Record in Web of Science</v>
      </c>
    </row>
    <row r="461" spans="1:72" x14ac:dyDescent="0.15">
      <c r="A461" t="s">
        <v>72</v>
      </c>
      <c r="B461" t="s">
        <v>7546</v>
      </c>
      <c r="C461" t="s">
        <v>74</v>
      </c>
      <c r="D461" t="s">
        <v>74</v>
      </c>
      <c r="E461" t="s">
        <v>74</v>
      </c>
      <c r="F461" t="s">
        <v>7547</v>
      </c>
      <c r="G461" t="s">
        <v>74</v>
      </c>
      <c r="H461" t="s">
        <v>74</v>
      </c>
      <c r="I461" t="s">
        <v>7548</v>
      </c>
      <c r="J461" t="s">
        <v>3721</v>
      </c>
      <c r="K461" t="s">
        <v>74</v>
      </c>
      <c r="L461" t="s">
        <v>74</v>
      </c>
      <c r="M461" t="s">
        <v>78</v>
      </c>
      <c r="N461" t="s">
        <v>79</v>
      </c>
      <c r="O461" t="s">
        <v>74</v>
      </c>
      <c r="P461" t="s">
        <v>74</v>
      </c>
      <c r="Q461" t="s">
        <v>74</v>
      </c>
      <c r="R461" t="s">
        <v>74</v>
      </c>
      <c r="S461" t="s">
        <v>74</v>
      </c>
      <c r="T461" t="s">
        <v>7549</v>
      </c>
      <c r="U461" t="s">
        <v>7550</v>
      </c>
      <c r="V461" t="s">
        <v>7551</v>
      </c>
      <c r="W461" t="s">
        <v>7552</v>
      </c>
      <c r="X461" t="s">
        <v>7553</v>
      </c>
      <c r="Y461" t="s">
        <v>7554</v>
      </c>
      <c r="Z461" t="s">
        <v>7555</v>
      </c>
      <c r="AA461" t="s">
        <v>4217</v>
      </c>
      <c r="AB461" t="s">
        <v>7556</v>
      </c>
      <c r="AC461" t="s">
        <v>74</v>
      </c>
      <c r="AD461" t="s">
        <v>74</v>
      </c>
      <c r="AE461" t="s">
        <v>74</v>
      </c>
      <c r="AF461" t="s">
        <v>74</v>
      </c>
      <c r="AG461">
        <v>38</v>
      </c>
      <c r="AH461">
        <v>49</v>
      </c>
      <c r="AI461">
        <v>54</v>
      </c>
      <c r="AJ461">
        <v>0</v>
      </c>
      <c r="AK461">
        <v>24</v>
      </c>
      <c r="AL461" t="s">
        <v>1202</v>
      </c>
      <c r="AM461" t="s">
        <v>1203</v>
      </c>
      <c r="AN461" t="s">
        <v>1204</v>
      </c>
      <c r="AO461" t="s">
        <v>3731</v>
      </c>
      <c r="AP461" t="s">
        <v>3732</v>
      </c>
      <c r="AQ461" t="s">
        <v>74</v>
      </c>
      <c r="AR461" t="s">
        <v>3733</v>
      </c>
      <c r="AS461" t="s">
        <v>3734</v>
      </c>
      <c r="AT461" t="s">
        <v>6858</v>
      </c>
      <c r="AU461">
        <v>2007</v>
      </c>
      <c r="AV461">
        <v>76</v>
      </c>
      <c r="AW461">
        <v>3</v>
      </c>
      <c r="AX461" t="s">
        <v>74</v>
      </c>
      <c r="AY461" t="s">
        <v>74</v>
      </c>
      <c r="AZ461" t="s">
        <v>74</v>
      </c>
      <c r="BA461" t="s">
        <v>74</v>
      </c>
      <c r="BB461">
        <v>459</v>
      </c>
      <c r="BC461">
        <v>470</v>
      </c>
      <c r="BD461" t="s">
        <v>74</v>
      </c>
      <c r="BE461" t="s">
        <v>7557</v>
      </c>
      <c r="BF461" t="str">
        <f>HYPERLINK("http://dx.doi.org/10.1111/j.1365-2656.2007.01234.x","http://dx.doi.org/10.1111/j.1365-2656.2007.01234.x")</f>
        <v>http://dx.doi.org/10.1111/j.1365-2656.2007.01234.x</v>
      </c>
      <c r="BG461" t="s">
        <v>74</v>
      </c>
      <c r="BH461" t="s">
        <v>74</v>
      </c>
      <c r="BI461">
        <v>12</v>
      </c>
      <c r="BJ461" t="s">
        <v>2154</v>
      </c>
      <c r="BK461" t="s">
        <v>98</v>
      </c>
      <c r="BL461" t="s">
        <v>2155</v>
      </c>
      <c r="BM461" t="s">
        <v>7558</v>
      </c>
      <c r="BN461">
        <v>17439463</v>
      </c>
      <c r="BO461" t="s">
        <v>154</v>
      </c>
      <c r="BP461" t="s">
        <v>74</v>
      </c>
      <c r="BQ461" t="s">
        <v>74</v>
      </c>
      <c r="BR461" t="s">
        <v>101</v>
      </c>
      <c r="BS461" t="s">
        <v>7559</v>
      </c>
      <c r="BT461" t="str">
        <f>HYPERLINK("https%3A%2F%2Fwww.webofscience.com%2Fwos%2Fwoscc%2Ffull-record%2FWOS:000245608900005","View Full Record in Web of Science")</f>
        <v>View Full Record in Web of Science</v>
      </c>
    </row>
    <row r="462" spans="1:72" x14ac:dyDescent="0.15">
      <c r="A462" t="s">
        <v>72</v>
      </c>
      <c r="B462" t="s">
        <v>7560</v>
      </c>
      <c r="C462" t="s">
        <v>74</v>
      </c>
      <c r="D462" t="s">
        <v>74</v>
      </c>
      <c r="E462" t="s">
        <v>74</v>
      </c>
      <c r="F462" t="s">
        <v>7561</v>
      </c>
      <c r="G462" t="s">
        <v>74</v>
      </c>
      <c r="H462" t="s">
        <v>74</v>
      </c>
      <c r="I462" t="s">
        <v>7562</v>
      </c>
      <c r="J462" t="s">
        <v>7563</v>
      </c>
      <c r="K462" t="s">
        <v>74</v>
      </c>
      <c r="L462" t="s">
        <v>74</v>
      </c>
      <c r="M462" t="s">
        <v>78</v>
      </c>
      <c r="N462" t="s">
        <v>79</v>
      </c>
      <c r="O462" t="s">
        <v>74</v>
      </c>
      <c r="P462" t="s">
        <v>74</v>
      </c>
      <c r="Q462" t="s">
        <v>74</v>
      </c>
      <c r="R462" t="s">
        <v>74</v>
      </c>
      <c r="S462" t="s">
        <v>74</v>
      </c>
      <c r="T462" t="s">
        <v>7564</v>
      </c>
      <c r="U462" t="s">
        <v>7565</v>
      </c>
      <c r="V462" t="s">
        <v>7566</v>
      </c>
      <c r="W462" t="s">
        <v>7567</v>
      </c>
      <c r="X462" t="s">
        <v>1382</v>
      </c>
      <c r="Y462" t="s">
        <v>7568</v>
      </c>
      <c r="Z462" t="s">
        <v>7569</v>
      </c>
      <c r="AA462" t="s">
        <v>74</v>
      </c>
      <c r="AB462" t="s">
        <v>7570</v>
      </c>
      <c r="AC462" t="s">
        <v>74</v>
      </c>
      <c r="AD462" t="s">
        <v>74</v>
      </c>
      <c r="AE462" t="s">
        <v>74</v>
      </c>
      <c r="AF462" t="s">
        <v>74</v>
      </c>
      <c r="AG462">
        <v>35</v>
      </c>
      <c r="AH462">
        <v>25</v>
      </c>
      <c r="AI462">
        <v>27</v>
      </c>
      <c r="AJ462">
        <v>0</v>
      </c>
      <c r="AK462">
        <v>22</v>
      </c>
      <c r="AL462" t="s">
        <v>7571</v>
      </c>
      <c r="AM462" t="s">
        <v>7393</v>
      </c>
      <c r="AN462" t="s">
        <v>7572</v>
      </c>
      <c r="AO462" t="s">
        <v>7573</v>
      </c>
      <c r="AP462" t="s">
        <v>74</v>
      </c>
      <c r="AQ462" t="s">
        <v>74</v>
      </c>
      <c r="AR462" t="s">
        <v>7574</v>
      </c>
      <c r="AS462" t="s">
        <v>7575</v>
      </c>
      <c r="AT462" t="s">
        <v>6858</v>
      </c>
      <c r="AU462">
        <v>2007</v>
      </c>
      <c r="AV462">
        <v>25</v>
      </c>
      <c r="AW462">
        <v>2</v>
      </c>
      <c r="AX462" t="s">
        <v>74</v>
      </c>
      <c r="AY462" t="s">
        <v>74</v>
      </c>
      <c r="AZ462" t="s">
        <v>74</v>
      </c>
      <c r="BA462" t="s">
        <v>74</v>
      </c>
      <c r="BB462">
        <v>125</v>
      </c>
      <c r="BC462">
        <v>131</v>
      </c>
      <c r="BD462" t="s">
        <v>74</v>
      </c>
      <c r="BE462" t="s">
        <v>7576</v>
      </c>
      <c r="BF462" t="str">
        <f>HYPERLINK("http://dx.doi.org/10.1007/s10164-006-0001-4","http://dx.doi.org/10.1007/s10164-006-0001-4")</f>
        <v>http://dx.doi.org/10.1007/s10164-006-0001-4</v>
      </c>
      <c r="BG462" t="s">
        <v>74</v>
      </c>
      <c r="BH462" t="s">
        <v>74</v>
      </c>
      <c r="BI462">
        <v>7</v>
      </c>
      <c r="BJ462" t="s">
        <v>7577</v>
      </c>
      <c r="BK462" t="s">
        <v>98</v>
      </c>
      <c r="BL462" t="s">
        <v>7577</v>
      </c>
      <c r="BM462" t="s">
        <v>7578</v>
      </c>
      <c r="BN462" t="s">
        <v>74</v>
      </c>
      <c r="BO462" t="s">
        <v>74</v>
      </c>
      <c r="BP462" t="s">
        <v>74</v>
      </c>
      <c r="BQ462" t="s">
        <v>74</v>
      </c>
      <c r="BR462" t="s">
        <v>101</v>
      </c>
      <c r="BS462" t="s">
        <v>7579</v>
      </c>
      <c r="BT462" t="str">
        <f>HYPERLINK("https%3A%2F%2Fwww.webofscience.com%2Fwos%2Fwoscc%2Ffull-record%2FWOS:000245887000004","View Full Record in Web of Science")</f>
        <v>View Full Record in Web of Science</v>
      </c>
    </row>
    <row r="463" spans="1:72" x14ac:dyDescent="0.15">
      <c r="A463" t="s">
        <v>72</v>
      </c>
      <c r="B463" t="s">
        <v>7580</v>
      </c>
      <c r="C463" t="s">
        <v>74</v>
      </c>
      <c r="D463" t="s">
        <v>74</v>
      </c>
      <c r="E463" t="s">
        <v>74</v>
      </c>
      <c r="F463" t="s">
        <v>7581</v>
      </c>
      <c r="G463" t="s">
        <v>74</v>
      </c>
      <c r="H463" t="s">
        <v>74</v>
      </c>
      <c r="I463" t="s">
        <v>7582</v>
      </c>
      <c r="J463" t="s">
        <v>7583</v>
      </c>
      <c r="K463" t="s">
        <v>74</v>
      </c>
      <c r="L463" t="s">
        <v>74</v>
      </c>
      <c r="M463" t="s">
        <v>78</v>
      </c>
      <c r="N463" t="s">
        <v>79</v>
      </c>
      <c r="O463" t="s">
        <v>74</v>
      </c>
      <c r="P463" t="s">
        <v>74</v>
      </c>
      <c r="Q463" t="s">
        <v>74</v>
      </c>
      <c r="R463" t="s">
        <v>74</v>
      </c>
      <c r="S463" t="s">
        <v>74</v>
      </c>
      <c r="T463" t="s">
        <v>7584</v>
      </c>
      <c r="U463" t="s">
        <v>7585</v>
      </c>
      <c r="V463" t="s">
        <v>7586</v>
      </c>
      <c r="W463" t="s">
        <v>7587</v>
      </c>
      <c r="X463" t="s">
        <v>7588</v>
      </c>
      <c r="Y463" t="s">
        <v>7589</v>
      </c>
      <c r="Z463" t="s">
        <v>7590</v>
      </c>
      <c r="AA463" t="s">
        <v>7591</v>
      </c>
      <c r="AB463" t="s">
        <v>7592</v>
      </c>
      <c r="AC463" t="s">
        <v>74</v>
      </c>
      <c r="AD463" t="s">
        <v>74</v>
      </c>
      <c r="AE463" t="s">
        <v>74</v>
      </c>
      <c r="AF463" t="s">
        <v>74</v>
      </c>
      <c r="AG463">
        <v>69</v>
      </c>
      <c r="AH463">
        <v>3</v>
      </c>
      <c r="AI463">
        <v>3</v>
      </c>
      <c r="AJ463">
        <v>0</v>
      </c>
      <c r="AK463">
        <v>1</v>
      </c>
      <c r="AL463" t="s">
        <v>3589</v>
      </c>
      <c r="AM463" t="s">
        <v>1504</v>
      </c>
      <c r="AN463" t="s">
        <v>3590</v>
      </c>
      <c r="AO463" t="s">
        <v>7593</v>
      </c>
      <c r="AP463" t="s">
        <v>74</v>
      </c>
      <c r="AQ463" t="s">
        <v>74</v>
      </c>
      <c r="AR463" t="s">
        <v>7594</v>
      </c>
      <c r="AS463" t="s">
        <v>7595</v>
      </c>
      <c r="AT463" t="s">
        <v>6858</v>
      </c>
      <c r="AU463">
        <v>2007</v>
      </c>
      <c r="AV463">
        <v>70</v>
      </c>
      <c r="AW463">
        <v>5</v>
      </c>
      <c r="AX463" t="s">
        <v>74</v>
      </c>
      <c r="AY463" t="s">
        <v>74</v>
      </c>
      <c r="AZ463" t="s">
        <v>74</v>
      </c>
      <c r="BA463" t="s">
        <v>74</v>
      </c>
      <c r="BB463">
        <v>1335</v>
      </c>
      <c r="BC463">
        <v>1349</v>
      </c>
      <c r="BD463" t="s">
        <v>74</v>
      </c>
      <c r="BE463" t="s">
        <v>7596</v>
      </c>
      <c r="BF463" t="str">
        <f>HYPERLINK("http://dx.doi.org/10.1111/j.1095-8649.2007.01413.x","http://dx.doi.org/10.1111/j.1095-8649.2007.01413.x")</f>
        <v>http://dx.doi.org/10.1111/j.1095-8649.2007.01413.x</v>
      </c>
      <c r="BG463" t="s">
        <v>74</v>
      </c>
      <c r="BH463" t="s">
        <v>74</v>
      </c>
      <c r="BI463">
        <v>15</v>
      </c>
      <c r="BJ463" t="s">
        <v>2610</v>
      </c>
      <c r="BK463" t="s">
        <v>98</v>
      </c>
      <c r="BL463" t="s">
        <v>2610</v>
      </c>
      <c r="BM463" t="s">
        <v>7597</v>
      </c>
      <c r="BN463" t="s">
        <v>74</v>
      </c>
      <c r="BO463" t="s">
        <v>74</v>
      </c>
      <c r="BP463" t="s">
        <v>74</v>
      </c>
      <c r="BQ463" t="s">
        <v>74</v>
      </c>
      <c r="BR463" t="s">
        <v>101</v>
      </c>
      <c r="BS463" t="s">
        <v>7598</v>
      </c>
      <c r="BT463" t="str">
        <f>HYPERLINK("https%3A%2F%2Fwww.webofscience.com%2Fwos%2Fwoscc%2Ffull-record%2FWOS:000245813000002","View Full Record in Web of Science")</f>
        <v>View Full Record in Web of Science</v>
      </c>
    </row>
    <row r="464" spans="1:72" x14ac:dyDescent="0.15">
      <c r="A464" t="s">
        <v>72</v>
      </c>
      <c r="B464" t="s">
        <v>7599</v>
      </c>
      <c r="C464" t="s">
        <v>74</v>
      </c>
      <c r="D464" t="s">
        <v>74</v>
      </c>
      <c r="E464" t="s">
        <v>74</v>
      </c>
      <c r="F464" t="s">
        <v>7600</v>
      </c>
      <c r="G464" t="s">
        <v>74</v>
      </c>
      <c r="H464" t="s">
        <v>74</v>
      </c>
      <c r="I464" t="s">
        <v>7601</v>
      </c>
      <c r="J464" t="s">
        <v>2064</v>
      </c>
      <c r="K464" t="s">
        <v>74</v>
      </c>
      <c r="L464" t="s">
        <v>74</v>
      </c>
      <c r="M464" t="s">
        <v>78</v>
      </c>
      <c r="N464" t="s">
        <v>79</v>
      </c>
      <c r="O464" t="s">
        <v>74</v>
      </c>
      <c r="P464" t="s">
        <v>74</v>
      </c>
      <c r="Q464" t="s">
        <v>74</v>
      </c>
      <c r="R464" t="s">
        <v>74</v>
      </c>
      <c r="S464" t="s">
        <v>74</v>
      </c>
      <c r="T464" t="s">
        <v>74</v>
      </c>
      <c r="U464" t="s">
        <v>7602</v>
      </c>
      <c r="V464" t="s">
        <v>7603</v>
      </c>
      <c r="W464" t="s">
        <v>7604</v>
      </c>
      <c r="X464" t="s">
        <v>7605</v>
      </c>
      <c r="Y464" t="s">
        <v>7606</v>
      </c>
      <c r="Z464" t="s">
        <v>7607</v>
      </c>
      <c r="AA464" t="s">
        <v>74</v>
      </c>
      <c r="AB464" t="s">
        <v>74</v>
      </c>
      <c r="AC464" t="s">
        <v>7608</v>
      </c>
      <c r="AD464" t="s">
        <v>361</v>
      </c>
      <c r="AE464" t="s">
        <v>74</v>
      </c>
      <c r="AF464" t="s">
        <v>74</v>
      </c>
      <c r="AG464">
        <v>43</v>
      </c>
      <c r="AH464">
        <v>49</v>
      </c>
      <c r="AI464">
        <v>49</v>
      </c>
      <c r="AJ464">
        <v>0</v>
      </c>
      <c r="AK464">
        <v>12</v>
      </c>
      <c r="AL464" t="s">
        <v>567</v>
      </c>
      <c r="AM464" t="s">
        <v>568</v>
      </c>
      <c r="AN464" t="s">
        <v>569</v>
      </c>
      <c r="AO464" t="s">
        <v>2071</v>
      </c>
      <c r="AP464" t="s">
        <v>2072</v>
      </c>
      <c r="AQ464" t="s">
        <v>74</v>
      </c>
      <c r="AR464" t="s">
        <v>2073</v>
      </c>
      <c r="AS464" t="s">
        <v>2074</v>
      </c>
      <c r="AT464" t="s">
        <v>6858</v>
      </c>
      <c r="AU464">
        <v>2007</v>
      </c>
      <c r="AV464">
        <v>37</v>
      </c>
      <c r="AW464">
        <v>5</v>
      </c>
      <c r="AX464" t="s">
        <v>74</v>
      </c>
      <c r="AY464" t="s">
        <v>74</v>
      </c>
      <c r="AZ464" t="s">
        <v>74</v>
      </c>
      <c r="BA464" t="s">
        <v>74</v>
      </c>
      <c r="BB464">
        <v>1376</v>
      </c>
      <c r="BC464">
        <v>1393</v>
      </c>
      <c r="BD464" t="s">
        <v>74</v>
      </c>
      <c r="BE464" t="s">
        <v>7609</v>
      </c>
      <c r="BF464" t="str">
        <f>HYPERLINK("http://dx.doi.org/10.1175/JPO3057.1","http://dx.doi.org/10.1175/JPO3057.1")</f>
        <v>http://dx.doi.org/10.1175/JPO3057.1</v>
      </c>
      <c r="BG464" t="s">
        <v>74</v>
      </c>
      <c r="BH464" t="s">
        <v>74</v>
      </c>
      <c r="BI464">
        <v>18</v>
      </c>
      <c r="BJ464" t="s">
        <v>221</v>
      </c>
      <c r="BK464" t="s">
        <v>98</v>
      </c>
      <c r="BL464" t="s">
        <v>221</v>
      </c>
      <c r="BM464" t="s">
        <v>7610</v>
      </c>
      <c r="BN464" t="s">
        <v>74</v>
      </c>
      <c r="BO464" t="s">
        <v>154</v>
      </c>
      <c r="BP464" t="s">
        <v>74</v>
      </c>
      <c r="BQ464" t="s">
        <v>74</v>
      </c>
      <c r="BR464" t="s">
        <v>101</v>
      </c>
      <c r="BS464" t="s">
        <v>7611</v>
      </c>
      <c r="BT464" t="str">
        <f>HYPERLINK("https%3A%2F%2Fwww.webofscience.com%2Fwos%2Fwoscc%2Ffull-record%2FWOS:000246804900018","View Full Record in Web of Science")</f>
        <v>View Full Record in Web of Science</v>
      </c>
    </row>
    <row r="465" spans="1:72" x14ac:dyDescent="0.15">
      <c r="A465" t="s">
        <v>72</v>
      </c>
      <c r="B465" t="s">
        <v>2823</v>
      </c>
      <c r="C465" t="s">
        <v>74</v>
      </c>
      <c r="D465" t="s">
        <v>74</v>
      </c>
      <c r="E465" t="s">
        <v>74</v>
      </c>
      <c r="F465" t="s">
        <v>2824</v>
      </c>
      <c r="G465" t="s">
        <v>74</v>
      </c>
      <c r="H465" t="s">
        <v>74</v>
      </c>
      <c r="I465" t="s">
        <v>7612</v>
      </c>
      <c r="J465" t="s">
        <v>2064</v>
      </c>
      <c r="K465" t="s">
        <v>74</v>
      </c>
      <c r="L465" t="s">
        <v>74</v>
      </c>
      <c r="M465" t="s">
        <v>78</v>
      </c>
      <c r="N465" t="s">
        <v>79</v>
      </c>
      <c r="O465" t="s">
        <v>74</v>
      </c>
      <c r="P465" t="s">
        <v>74</v>
      </c>
      <c r="Q465" t="s">
        <v>74</v>
      </c>
      <c r="R465" t="s">
        <v>74</v>
      </c>
      <c r="S465" t="s">
        <v>74</v>
      </c>
      <c r="T465" t="s">
        <v>74</v>
      </c>
      <c r="U465" t="s">
        <v>7613</v>
      </c>
      <c r="V465" t="s">
        <v>7614</v>
      </c>
      <c r="W465" t="s">
        <v>7615</v>
      </c>
      <c r="X465" t="s">
        <v>3239</v>
      </c>
      <c r="Y465" t="s">
        <v>7616</v>
      </c>
      <c r="Z465" t="s">
        <v>2830</v>
      </c>
      <c r="AA465" t="s">
        <v>2831</v>
      </c>
      <c r="AB465" t="s">
        <v>2832</v>
      </c>
      <c r="AC465" t="s">
        <v>74</v>
      </c>
      <c r="AD465" t="s">
        <v>74</v>
      </c>
      <c r="AE465" t="s">
        <v>74</v>
      </c>
      <c r="AF465" t="s">
        <v>74</v>
      </c>
      <c r="AG465">
        <v>50</v>
      </c>
      <c r="AH465">
        <v>166</v>
      </c>
      <c r="AI465">
        <v>187</v>
      </c>
      <c r="AJ465">
        <v>3</v>
      </c>
      <c r="AK465">
        <v>29</v>
      </c>
      <c r="AL465" t="s">
        <v>567</v>
      </c>
      <c r="AM465" t="s">
        <v>568</v>
      </c>
      <c r="AN465" t="s">
        <v>569</v>
      </c>
      <c r="AO465" t="s">
        <v>2071</v>
      </c>
      <c r="AP465" t="s">
        <v>2072</v>
      </c>
      <c r="AQ465" t="s">
        <v>74</v>
      </c>
      <c r="AR465" t="s">
        <v>2073</v>
      </c>
      <c r="AS465" t="s">
        <v>2074</v>
      </c>
      <c r="AT465" t="s">
        <v>6858</v>
      </c>
      <c r="AU465">
        <v>2007</v>
      </c>
      <c r="AV465">
        <v>37</v>
      </c>
      <c r="AW465">
        <v>5</v>
      </c>
      <c r="AX465" t="s">
        <v>74</v>
      </c>
      <c r="AY465" t="s">
        <v>74</v>
      </c>
      <c r="AZ465" t="s">
        <v>74</v>
      </c>
      <c r="BA465" t="s">
        <v>74</v>
      </c>
      <c r="BB465">
        <v>1394</v>
      </c>
      <c r="BC465">
        <v>1412</v>
      </c>
      <c r="BD465" t="s">
        <v>74</v>
      </c>
      <c r="BE465" t="s">
        <v>7617</v>
      </c>
      <c r="BF465" t="str">
        <f>HYPERLINK("http://dx.doi.org/10.1175/JPO3111.1","http://dx.doi.org/10.1175/JPO3111.1")</f>
        <v>http://dx.doi.org/10.1175/JPO3111.1</v>
      </c>
      <c r="BG465" t="s">
        <v>74</v>
      </c>
      <c r="BH465" t="s">
        <v>74</v>
      </c>
      <c r="BI465">
        <v>19</v>
      </c>
      <c r="BJ465" t="s">
        <v>221</v>
      </c>
      <c r="BK465" t="s">
        <v>98</v>
      </c>
      <c r="BL465" t="s">
        <v>221</v>
      </c>
      <c r="BM465" t="s">
        <v>7610</v>
      </c>
      <c r="BN465" t="s">
        <v>74</v>
      </c>
      <c r="BO465" t="s">
        <v>4643</v>
      </c>
      <c r="BP465" t="s">
        <v>74</v>
      </c>
      <c r="BQ465" t="s">
        <v>74</v>
      </c>
      <c r="BR465" t="s">
        <v>101</v>
      </c>
      <c r="BS465" t="s">
        <v>7618</v>
      </c>
      <c r="BT465" t="str">
        <f>HYPERLINK("https%3A%2F%2Fwww.webofscience.com%2Fwos%2Fwoscc%2Ffull-record%2FWOS:000246804900019","View Full Record in Web of Science")</f>
        <v>View Full Record in Web of Science</v>
      </c>
    </row>
    <row r="466" spans="1:72" x14ac:dyDescent="0.15">
      <c r="A466" t="s">
        <v>72</v>
      </c>
      <c r="B466" t="s">
        <v>7619</v>
      </c>
      <c r="C466" t="s">
        <v>74</v>
      </c>
      <c r="D466" t="s">
        <v>74</v>
      </c>
      <c r="E466" t="s">
        <v>74</v>
      </c>
      <c r="F466" t="s">
        <v>7620</v>
      </c>
      <c r="G466" t="s">
        <v>74</v>
      </c>
      <c r="H466" t="s">
        <v>74</v>
      </c>
      <c r="I466" t="s">
        <v>7621</v>
      </c>
      <c r="J466" t="s">
        <v>2081</v>
      </c>
      <c r="K466" t="s">
        <v>74</v>
      </c>
      <c r="L466" t="s">
        <v>74</v>
      </c>
      <c r="M466" t="s">
        <v>78</v>
      </c>
      <c r="N466" t="s">
        <v>79</v>
      </c>
      <c r="O466" t="s">
        <v>74</v>
      </c>
      <c r="P466" t="s">
        <v>74</v>
      </c>
      <c r="Q466" t="s">
        <v>74</v>
      </c>
      <c r="R466" t="s">
        <v>74</v>
      </c>
      <c r="S466" t="s">
        <v>74</v>
      </c>
      <c r="T466" t="s">
        <v>74</v>
      </c>
      <c r="U466" t="s">
        <v>7622</v>
      </c>
      <c r="V466" t="s">
        <v>7623</v>
      </c>
      <c r="W466" t="s">
        <v>7624</v>
      </c>
      <c r="X466" t="s">
        <v>7625</v>
      </c>
      <c r="Y466" t="s">
        <v>7626</v>
      </c>
      <c r="Z466" t="s">
        <v>7627</v>
      </c>
      <c r="AA466" t="s">
        <v>7628</v>
      </c>
      <c r="AB466" t="s">
        <v>74</v>
      </c>
      <c r="AC466" t="s">
        <v>7629</v>
      </c>
      <c r="AD466" t="s">
        <v>140</v>
      </c>
      <c r="AE466" t="s">
        <v>74</v>
      </c>
      <c r="AF466" t="s">
        <v>74</v>
      </c>
      <c r="AG466">
        <v>29</v>
      </c>
      <c r="AH466">
        <v>80</v>
      </c>
      <c r="AI466">
        <v>82</v>
      </c>
      <c r="AJ466">
        <v>0</v>
      </c>
      <c r="AK466">
        <v>23</v>
      </c>
      <c r="AL466" t="s">
        <v>1715</v>
      </c>
      <c r="AM466" t="s">
        <v>1504</v>
      </c>
      <c r="AN466" t="s">
        <v>1716</v>
      </c>
      <c r="AO466" t="s">
        <v>2088</v>
      </c>
      <c r="AP466" t="s">
        <v>2089</v>
      </c>
      <c r="AQ466" t="s">
        <v>74</v>
      </c>
      <c r="AR466" t="s">
        <v>2090</v>
      </c>
      <c r="AS466" t="s">
        <v>2091</v>
      </c>
      <c r="AT466" t="s">
        <v>6858</v>
      </c>
      <c r="AU466">
        <v>2007</v>
      </c>
      <c r="AV466">
        <v>29</v>
      </c>
      <c r="AW466">
        <v>5</v>
      </c>
      <c r="AX466" t="s">
        <v>74</v>
      </c>
      <c r="AY466" t="s">
        <v>74</v>
      </c>
      <c r="AZ466" t="s">
        <v>74</v>
      </c>
      <c r="BA466" t="s">
        <v>74</v>
      </c>
      <c r="BB466">
        <v>417</v>
      </c>
      <c r="BC466">
        <v>422</v>
      </c>
      <c r="BD466" t="s">
        <v>74</v>
      </c>
      <c r="BE466" t="s">
        <v>7630</v>
      </c>
      <c r="BF466" t="str">
        <f>HYPERLINK("http://dx.doi.org/10.1093/plankt/fbm025","http://dx.doi.org/10.1093/plankt/fbm025")</f>
        <v>http://dx.doi.org/10.1093/plankt/fbm025</v>
      </c>
      <c r="BG466" t="s">
        <v>74</v>
      </c>
      <c r="BH466" t="s">
        <v>74</v>
      </c>
      <c r="BI466">
        <v>6</v>
      </c>
      <c r="BJ466" t="s">
        <v>2093</v>
      </c>
      <c r="BK466" t="s">
        <v>98</v>
      </c>
      <c r="BL466" t="s">
        <v>2093</v>
      </c>
      <c r="BM466" t="s">
        <v>7631</v>
      </c>
      <c r="BN466" t="s">
        <v>74</v>
      </c>
      <c r="BO466" t="s">
        <v>154</v>
      </c>
      <c r="BP466" t="s">
        <v>74</v>
      </c>
      <c r="BQ466" t="s">
        <v>74</v>
      </c>
      <c r="BR466" t="s">
        <v>101</v>
      </c>
      <c r="BS466" t="s">
        <v>7632</v>
      </c>
      <c r="BT466" t="str">
        <f>HYPERLINK("https%3A%2F%2Fwww.webofscience.com%2Fwos%2Fwoscc%2Ffull-record%2FWOS:000247531000002","View Full Record in Web of Science")</f>
        <v>View Full Record in Web of Science</v>
      </c>
    </row>
    <row r="467" spans="1:72" x14ac:dyDescent="0.15">
      <c r="A467" t="s">
        <v>72</v>
      </c>
      <c r="B467" t="s">
        <v>7633</v>
      </c>
      <c r="C467" t="s">
        <v>74</v>
      </c>
      <c r="D467" t="s">
        <v>74</v>
      </c>
      <c r="E467" t="s">
        <v>74</v>
      </c>
      <c r="F467" t="s">
        <v>7634</v>
      </c>
      <c r="G467" t="s">
        <v>74</v>
      </c>
      <c r="H467" t="s">
        <v>74</v>
      </c>
      <c r="I467" t="s">
        <v>7635</v>
      </c>
      <c r="J467" t="s">
        <v>7636</v>
      </c>
      <c r="K467" t="s">
        <v>74</v>
      </c>
      <c r="L467" t="s">
        <v>74</v>
      </c>
      <c r="M467" t="s">
        <v>78</v>
      </c>
      <c r="N467" t="s">
        <v>514</v>
      </c>
      <c r="O467" t="s">
        <v>7637</v>
      </c>
      <c r="P467" t="s">
        <v>1027</v>
      </c>
      <c r="Q467" t="s">
        <v>7638</v>
      </c>
      <c r="R467" t="s">
        <v>74</v>
      </c>
      <c r="S467" t="s">
        <v>74</v>
      </c>
      <c r="T467" t="s">
        <v>74</v>
      </c>
      <c r="U467" t="s">
        <v>74</v>
      </c>
      <c r="V467" t="s">
        <v>7639</v>
      </c>
      <c r="W467" t="s">
        <v>7640</v>
      </c>
      <c r="X467" t="s">
        <v>7641</v>
      </c>
      <c r="Y467" t="s">
        <v>7642</v>
      </c>
      <c r="Z467" t="s">
        <v>7643</v>
      </c>
      <c r="AA467" t="s">
        <v>7644</v>
      </c>
      <c r="AB467" t="s">
        <v>7645</v>
      </c>
      <c r="AC467" t="s">
        <v>74</v>
      </c>
      <c r="AD467" t="s">
        <v>74</v>
      </c>
      <c r="AE467" t="s">
        <v>74</v>
      </c>
      <c r="AF467" t="s">
        <v>74</v>
      </c>
      <c r="AG467">
        <v>15</v>
      </c>
      <c r="AH467">
        <v>1</v>
      </c>
      <c r="AI467">
        <v>1</v>
      </c>
      <c r="AJ467">
        <v>0</v>
      </c>
      <c r="AK467">
        <v>3</v>
      </c>
      <c r="AL467" t="s">
        <v>7646</v>
      </c>
      <c r="AM467" t="s">
        <v>7647</v>
      </c>
      <c r="AN467" t="s">
        <v>7648</v>
      </c>
      <c r="AO467" t="s">
        <v>7649</v>
      </c>
      <c r="AP467" t="s">
        <v>74</v>
      </c>
      <c r="AQ467" t="s">
        <v>74</v>
      </c>
      <c r="AR467" t="s">
        <v>7650</v>
      </c>
      <c r="AS467" t="s">
        <v>7651</v>
      </c>
      <c r="AT467" t="s">
        <v>6858</v>
      </c>
      <c r="AU467">
        <v>2007</v>
      </c>
      <c r="AV467">
        <v>39</v>
      </c>
      <c r="AW467">
        <v>2</v>
      </c>
      <c r="AX467" t="s">
        <v>74</v>
      </c>
      <c r="AY467" t="s">
        <v>74</v>
      </c>
      <c r="AZ467" t="s">
        <v>74</v>
      </c>
      <c r="BA467" t="s">
        <v>74</v>
      </c>
      <c r="BB467">
        <v>137</v>
      </c>
      <c r="BC467">
        <v>150</v>
      </c>
      <c r="BD467" t="s">
        <v>74</v>
      </c>
      <c r="BE467" t="s">
        <v>74</v>
      </c>
      <c r="BF467" t="s">
        <v>74</v>
      </c>
      <c r="BG467" t="s">
        <v>74</v>
      </c>
      <c r="BH467" t="s">
        <v>74</v>
      </c>
      <c r="BI467">
        <v>14</v>
      </c>
      <c r="BJ467" t="s">
        <v>7652</v>
      </c>
      <c r="BK467" t="s">
        <v>535</v>
      </c>
      <c r="BL467" t="s">
        <v>7653</v>
      </c>
      <c r="BM467" t="s">
        <v>7654</v>
      </c>
      <c r="BN467" t="s">
        <v>74</v>
      </c>
      <c r="BO467" t="s">
        <v>74</v>
      </c>
      <c r="BP467" t="s">
        <v>74</v>
      </c>
      <c r="BQ467" t="s">
        <v>74</v>
      </c>
      <c r="BR467" t="s">
        <v>101</v>
      </c>
      <c r="BS467" t="s">
        <v>7655</v>
      </c>
      <c r="BT467" t="str">
        <f>HYPERLINK("https%3A%2F%2Fwww.webofscience.com%2Fwos%2Fwoscc%2Ffull-record%2FWOS:000245929700007","View Full Record in Web of Science")</f>
        <v>View Full Record in Web of Science</v>
      </c>
    </row>
    <row r="468" spans="1:72" x14ac:dyDescent="0.15">
      <c r="A468" t="s">
        <v>72</v>
      </c>
      <c r="B468" t="s">
        <v>7656</v>
      </c>
      <c r="C468" t="s">
        <v>74</v>
      </c>
      <c r="D468" t="s">
        <v>74</v>
      </c>
      <c r="E468" t="s">
        <v>74</v>
      </c>
      <c r="F468" t="s">
        <v>7657</v>
      </c>
      <c r="G468" t="s">
        <v>74</v>
      </c>
      <c r="H468" t="s">
        <v>74</v>
      </c>
      <c r="I468" t="s">
        <v>7658</v>
      </c>
      <c r="J468" t="s">
        <v>7659</v>
      </c>
      <c r="K468" t="s">
        <v>74</v>
      </c>
      <c r="L468" t="s">
        <v>74</v>
      </c>
      <c r="M468" t="s">
        <v>78</v>
      </c>
      <c r="N468" t="s">
        <v>79</v>
      </c>
      <c r="O468" t="s">
        <v>74</v>
      </c>
      <c r="P468" t="s">
        <v>74</v>
      </c>
      <c r="Q468" t="s">
        <v>74</v>
      </c>
      <c r="R468" t="s">
        <v>74</v>
      </c>
      <c r="S468" t="s">
        <v>74</v>
      </c>
      <c r="T468" t="s">
        <v>74</v>
      </c>
      <c r="U468" t="s">
        <v>7660</v>
      </c>
      <c r="V468" t="s">
        <v>7661</v>
      </c>
      <c r="W468" t="s">
        <v>7662</v>
      </c>
      <c r="X468" t="s">
        <v>7663</v>
      </c>
      <c r="Y468" t="s">
        <v>7664</v>
      </c>
      <c r="Z468" t="s">
        <v>7665</v>
      </c>
      <c r="AA468" t="s">
        <v>74</v>
      </c>
      <c r="AB468" t="s">
        <v>74</v>
      </c>
      <c r="AC468" t="s">
        <v>74</v>
      </c>
      <c r="AD468" t="s">
        <v>74</v>
      </c>
      <c r="AE468" t="s">
        <v>74</v>
      </c>
      <c r="AF468" t="s">
        <v>74</v>
      </c>
      <c r="AG468">
        <v>77</v>
      </c>
      <c r="AH468">
        <v>27</v>
      </c>
      <c r="AI468">
        <v>28</v>
      </c>
      <c r="AJ468">
        <v>0</v>
      </c>
      <c r="AK468">
        <v>6</v>
      </c>
      <c r="AL468" t="s">
        <v>7666</v>
      </c>
      <c r="AM468" t="s">
        <v>7667</v>
      </c>
      <c r="AN468" t="s">
        <v>7668</v>
      </c>
      <c r="AO468" t="s">
        <v>7669</v>
      </c>
      <c r="AP468" t="s">
        <v>74</v>
      </c>
      <c r="AQ468" t="s">
        <v>74</v>
      </c>
      <c r="AR468" t="s">
        <v>7670</v>
      </c>
      <c r="AS468" t="s">
        <v>7671</v>
      </c>
      <c r="AT468" t="s">
        <v>6858</v>
      </c>
      <c r="AU468">
        <v>2007</v>
      </c>
      <c r="AV468">
        <v>164</v>
      </c>
      <c r="AW468" t="s">
        <v>74</v>
      </c>
      <c r="AX468">
        <v>3</v>
      </c>
      <c r="AY468" t="s">
        <v>74</v>
      </c>
      <c r="AZ468" t="s">
        <v>74</v>
      </c>
      <c r="BA468" t="s">
        <v>74</v>
      </c>
      <c r="BB468">
        <v>653</v>
      </c>
      <c r="BC468">
        <v>665</v>
      </c>
      <c r="BD468" t="s">
        <v>74</v>
      </c>
      <c r="BE468" t="s">
        <v>7672</v>
      </c>
      <c r="BF468" t="str">
        <f>HYPERLINK("http://dx.doi.org/10.1144/0016-76492006-001","http://dx.doi.org/10.1144/0016-76492006-001")</f>
        <v>http://dx.doi.org/10.1144/0016-76492006-001</v>
      </c>
      <c r="BG468" t="s">
        <v>74</v>
      </c>
      <c r="BH468" t="s">
        <v>74</v>
      </c>
      <c r="BI468">
        <v>13</v>
      </c>
      <c r="BJ468" t="s">
        <v>151</v>
      </c>
      <c r="BK468" t="s">
        <v>98</v>
      </c>
      <c r="BL468" t="s">
        <v>152</v>
      </c>
      <c r="BM468" t="s">
        <v>7673</v>
      </c>
      <c r="BN468" t="s">
        <v>74</v>
      </c>
      <c r="BO468" t="s">
        <v>74</v>
      </c>
      <c r="BP468" t="s">
        <v>74</v>
      </c>
      <c r="BQ468" t="s">
        <v>74</v>
      </c>
      <c r="BR468" t="s">
        <v>101</v>
      </c>
      <c r="BS468" t="s">
        <v>7674</v>
      </c>
      <c r="BT468" t="str">
        <f>HYPERLINK("https%3A%2F%2Fwww.webofscience.com%2Fwos%2Fwoscc%2Ffull-record%2FWOS:000246329900014","View Full Record in Web of Science")</f>
        <v>View Full Record in Web of Science</v>
      </c>
    </row>
    <row r="469" spans="1:72" x14ac:dyDescent="0.15">
      <c r="A469" t="s">
        <v>72</v>
      </c>
      <c r="B469" t="s">
        <v>7675</v>
      </c>
      <c r="C469" t="s">
        <v>74</v>
      </c>
      <c r="D469" t="s">
        <v>74</v>
      </c>
      <c r="E469" t="s">
        <v>74</v>
      </c>
      <c r="F469" t="s">
        <v>7676</v>
      </c>
      <c r="G469" t="s">
        <v>74</v>
      </c>
      <c r="H469" t="s">
        <v>74</v>
      </c>
      <c r="I469" t="s">
        <v>7677</v>
      </c>
      <c r="J469" t="s">
        <v>3934</v>
      </c>
      <c r="K469" t="s">
        <v>74</v>
      </c>
      <c r="L469" t="s">
        <v>74</v>
      </c>
      <c r="M469" t="s">
        <v>78</v>
      </c>
      <c r="N469" t="s">
        <v>79</v>
      </c>
      <c r="O469" t="s">
        <v>74</v>
      </c>
      <c r="P469" t="s">
        <v>74</v>
      </c>
      <c r="Q469" t="s">
        <v>74</v>
      </c>
      <c r="R469" t="s">
        <v>74</v>
      </c>
      <c r="S469" t="s">
        <v>74</v>
      </c>
      <c r="T469" t="s">
        <v>74</v>
      </c>
      <c r="U469" t="s">
        <v>7678</v>
      </c>
      <c r="V469" t="s">
        <v>7679</v>
      </c>
      <c r="W469" t="s">
        <v>7680</v>
      </c>
      <c r="X469" t="s">
        <v>7681</v>
      </c>
      <c r="Y469" t="s">
        <v>7682</v>
      </c>
      <c r="Z469" t="s">
        <v>7683</v>
      </c>
      <c r="AA469" t="s">
        <v>7684</v>
      </c>
      <c r="AB469" t="s">
        <v>7685</v>
      </c>
      <c r="AC469" t="s">
        <v>74</v>
      </c>
      <c r="AD469" t="s">
        <v>74</v>
      </c>
      <c r="AE469" t="s">
        <v>74</v>
      </c>
      <c r="AF469" t="s">
        <v>74</v>
      </c>
      <c r="AG469">
        <v>31</v>
      </c>
      <c r="AH469">
        <v>41</v>
      </c>
      <c r="AI469">
        <v>48</v>
      </c>
      <c r="AJ469">
        <v>0</v>
      </c>
      <c r="AK469">
        <v>22</v>
      </c>
      <c r="AL469" t="s">
        <v>1202</v>
      </c>
      <c r="AM469" t="s">
        <v>1203</v>
      </c>
      <c r="AN469" t="s">
        <v>1204</v>
      </c>
      <c r="AO469" t="s">
        <v>3943</v>
      </c>
      <c r="AP469" t="s">
        <v>3944</v>
      </c>
      <c r="AQ469" t="s">
        <v>74</v>
      </c>
      <c r="AR469" t="s">
        <v>3945</v>
      </c>
      <c r="AS469" t="s">
        <v>3946</v>
      </c>
      <c r="AT469" t="s">
        <v>6858</v>
      </c>
      <c r="AU469">
        <v>2007</v>
      </c>
      <c r="AV469">
        <v>52</v>
      </c>
      <c r="AW469">
        <v>3</v>
      </c>
      <c r="AX469" t="s">
        <v>74</v>
      </c>
      <c r="AY469" t="s">
        <v>74</v>
      </c>
      <c r="AZ469" t="s">
        <v>74</v>
      </c>
      <c r="BA469" t="s">
        <v>74</v>
      </c>
      <c r="BB469">
        <v>1046</v>
      </c>
      <c r="BC469">
        <v>1054</v>
      </c>
      <c r="BD469" t="s">
        <v>74</v>
      </c>
      <c r="BE469" t="s">
        <v>7686</v>
      </c>
      <c r="BF469" t="str">
        <f>HYPERLINK("http://dx.doi.org/10.4319/lo.2007.52.3.1046","http://dx.doi.org/10.4319/lo.2007.52.3.1046")</f>
        <v>http://dx.doi.org/10.4319/lo.2007.52.3.1046</v>
      </c>
      <c r="BG469" t="s">
        <v>74</v>
      </c>
      <c r="BH469" t="s">
        <v>74</v>
      </c>
      <c r="BI469">
        <v>9</v>
      </c>
      <c r="BJ469" t="s">
        <v>3948</v>
      </c>
      <c r="BK469" t="s">
        <v>98</v>
      </c>
      <c r="BL469" t="s">
        <v>2093</v>
      </c>
      <c r="BM469" t="s">
        <v>7687</v>
      </c>
      <c r="BN469" t="s">
        <v>74</v>
      </c>
      <c r="BO469" t="s">
        <v>797</v>
      </c>
      <c r="BP469" t="s">
        <v>74</v>
      </c>
      <c r="BQ469" t="s">
        <v>74</v>
      </c>
      <c r="BR469" t="s">
        <v>101</v>
      </c>
      <c r="BS469" t="s">
        <v>7688</v>
      </c>
      <c r="BT469" t="str">
        <f>HYPERLINK("https%3A%2F%2Fwww.webofscience.com%2Fwos%2Fwoscc%2Ffull-record%2FWOS:000246690000013","View Full Record in Web of Science")</f>
        <v>View Full Record in Web of Science</v>
      </c>
    </row>
    <row r="470" spans="1:72" x14ac:dyDescent="0.15">
      <c r="A470" t="s">
        <v>72</v>
      </c>
      <c r="B470" t="s">
        <v>7689</v>
      </c>
      <c r="C470" t="s">
        <v>74</v>
      </c>
      <c r="D470" t="s">
        <v>74</v>
      </c>
      <c r="E470" t="s">
        <v>74</v>
      </c>
      <c r="F470" t="s">
        <v>7690</v>
      </c>
      <c r="G470" t="s">
        <v>74</v>
      </c>
      <c r="H470" t="s">
        <v>74</v>
      </c>
      <c r="I470" t="s">
        <v>7691</v>
      </c>
      <c r="J470" t="s">
        <v>2161</v>
      </c>
      <c r="K470" t="s">
        <v>74</v>
      </c>
      <c r="L470" t="s">
        <v>74</v>
      </c>
      <c r="M470" t="s">
        <v>78</v>
      </c>
      <c r="N470" t="s">
        <v>79</v>
      </c>
      <c r="O470" t="s">
        <v>74</v>
      </c>
      <c r="P470" t="s">
        <v>74</v>
      </c>
      <c r="Q470" t="s">
        <v>74</v>
      </c>
      <c r="R470" t="s">
        <v>74</v>
      </c>
      <c r="S470" t="s">
        <v>74</v>
      </c>
      <c r="T470" t="s">
        <v>74</v>
      </c>
      <c r="U470" t="s">
        <v>7692</v>
      </c>
      <c r="V470" t="s">
        <v>7693</v>
      </c>
      <c r="W470" t="s">
        <v>7694</v>
      </c>
      <c r="X470" t="s">
        <v>7695</v>
      </c>
      <c r="Y470" t="s">
        <v>7696</v>
      </c>
      <c r="Z470" t="s">
        <v>7697</v>
      </c>
      <c r="AA470" t="s">
        <v>7698</v>
      </c>
      <c r="AB470" t="s">
        <v>7699</v>
      </c>
      <c r="AC470" t="s">
        <v>74</v>
      </c>
      <c r="AD470" t="s">
        <v>74</v>
      </c>
      <c r="AE470" t="s">
        <v>74</v>
      </c>
      <c r="AF470" t="s">
        <v>74</v>
      </c>
      <c r="AG470">
        <v>36</v>
      </c>
      <c r="AH470">
        <v>49</v>
      </c>
      <c r="AI470">
        <v>59</v>
      </c>
      <c r="AJ470">
        <v>0</v>
      </c>
      <c r="AK470">
        <v>15</v>
      </c>
      <c r="AL470" t="s">
        <v>2170</v>
      </c>
      <c r="AM470" t="s">
        <v>2171</v>
      </c>
      <c r="AN470" t="s">
        <v>2172</v>
      </c>
      <c r="AO470" t="s">
        <v>2173</v>
      </c>
      <c r="AP470" t="s">
        <v>2174</v>
      </c>
      <c r="AQ470" t="s">
        <v>74</v>
      </c>
      <c r="AR470" t="s">
        <v>2175</v>
      </c>
      <c r="AS470" t="s">
        <v>2176</v>
      </c>
      <c r="AT470" t="s">
        <v>6858</v>
      </c>
      <c r="AU470">
        <v>2007</v>
      </c>
      <c r="AV470">
        <v>151</v>
      </c>
      <c r="AW470">
        <v>3</v>
      </c>
      <c r="AX470" t="s">
        <v>74</v>
      </c>
      <c r="AY470" t="s">
        <v>74</v>
      </c>
      <c r="AZ470" t="s">
        <v>74</v>
      </c>
      <c r="BA470" t="s">
        <v>74</v>
      </c>
      <c r="BB470">
        <v>985</v>
      </c>
      <c r="BC470">
        <v>995</v>
      </c>
      <c r="BD470" t="s">
        <v>74</v>
      </c>
      <c r="BE470" t="s">
        <v>7700</v>
      </c>
      <c r="BF470" t="str">
        <f>HYPERLINK("http://dx.doi.org/10.1007/s00227-006-0533-8","http://dx.doi.org/10.1007/s00227-006-0533-8")</f>
        <v>http://dx.doi.org/10.1007/s00227-006-0533-8</v>
      </c>
      <c r="BG470" t="s">
        <v>74</v>
      </c>
      <c r="BH470" t="s">
        <v>74</v>
      </c>
      <c r="BI470">
        <v>11</v>
      </c>
      <c r="BJ470" t="s">
        <v>2178</v>
      </c>
      <c r="BK470" t="s">
        <v>98</v>
      </c>
      <c r="BL470" t="s">
        <v>2178</v>
      </c>
      <c r="BM470" t="s">
        <v>7701</v>
      </c>
      <c r="BN470" t="s">
        <v>74</v>
      </c>
      <c r="BO470" t="s">
        <v>4891</v>
      </c>
      <c r="BP470" t="s">
        <v>74</v>
      </c>
      <c r="BQ470" t="s">
        <v>74</v>
      </c>
      <c r="BR470" t="s">
        <v>101</v>
      </c>
      <c r="BS470" t="s">
        <v>7702</v>
      </c>
      <c r="BT470" t="str">
        <f>HYPERLINK("https%3A%2F%2Fwww.webofscience.com%2Fwos%2Fwoscc%2Ffull-record%2FWOS:000246098900015","View Full Record in Web of Science")</f>
        <v>View Full Record in Web of Science</v>
      </c>
    </row>
    <row r="471" spans="1:72" x14ac:dyDescent="0.15">
      <c r="A471" t="s">
        <v>72</v>
      </c>
      <c r="B471" t="s">
        <v>7703</v>
      </c>
      <c r="C471" t="s">
        <v>74</v>
      </c>
      <c r="D471" t="s">
        <v>74</v>
      </c>
      <c r="E471" t="s">
        <v>74</v>
      </c>
      <c r="F471" t="s">
        <v>7704</v>
      </c>
      <c r="G471" t="s">
        <v>74</v>
      </c>
      <c r="H471" t="s">
        <v>74</v>
      </c>
      <c r="I471" t="s">
        <v>7705</v>
      </c>
      <c r="J471" t="s">
        <v>2161</v>
      </c>
      <c r="K471" t="s">
        <v>74</v>
      </c>
      <c r="L471" t="s">
        <v>74</v>
      </c>
      <c r="M471" t="s">
        <v>78</v>
      </c>
      <c r="N471" t="s">
        <v>79</v>
      </c>
      <c r="O471" t="s">
        <v>74</v>
      </c>
      <c r="P471" t="s">
        <v>74</v>
      </c>
      <c r="Q471" t="s">
        <v>74</v>
      </c>
      <c r="R471" t="s">
        <v>74</v>
      </c>
      <c r="S471" t="s">
        <v>74</v>
      </c>
      <c r="T471" t="s">
        <v>74</v>
      </c>
      <c r="U471" t="s">
        <v>7706</v>
      </c>
      <c r="V471" t="s">
        <v>7707</v>
      </c>
      <c r="W471" t="s">
        <v>4766</v>
      </c>
      <c r="X471" t="s">
        <v>1988</v>
      </c>
      <c r="Y471" t="s">
        <v>7708</v>
      </c>
      <c r="Z471" t="s">
        <v>7709</v>
      </c>
      <c r="AA471" t="s">
        <v>7710</v>
      </c>
      <c r="AB471" t="s">
        <v>7711</v>
      </c>
      <c r="AC471" t="s">
        <v>480</v>
      </c>
      <c r="AD471" t="s">
        <v>140</v>
      </c>
      <c r="AE471" t="s">
        <v>74</v>
      </c>
      <c r="AF471" t="s">
        <v>74</v>
      </c>
      <c r="AG471">
        <v>32</v>
      </c>
      <c r="AH471">
        <v>57</v>
      </c>
      <c r="AI471">
        <v>60</v>
      </c>
      <c r="AJ471">
        <v>0</v>
      </c>
      <c r="AK471">
        <v>21</v>
      </c>
      <c r="AL471" t="s">
        <v>2170</v>
      </c>
      <c r="AM471" t="s">
        <v>2171</v>
      </c>
      <c r="AN471" t="s">
        <v>2172</v>
      </c>
      <c r="AO471" t="s">
        <v>2173</v>
      </c>
      <c r="AP471" t="s">
        <v>2174</v>
      </c>
      <c r="AQ471" t="s">
        <v>74</v>
      </c>
      <c r="AR471" t="s">
        <v>2175</v>
      </c>
      <c r="AS471" t="s">
        <v>2176</v>
      </c>
      <c r="AT471" t="s">
        <v>6858</v>
      </c>
      <c r="AU471">
        <v>2007</v>
      </c>
      <c r="AV471">
        <v>151</v>
      </c>
      <c r="AW471">
        <v>3</v>
      </c>
      <c r="AX471" t="s">
        <v>74</v>
      </c>
      <c r="AY471" t="s">
        <v>74</v>
      </c>
      <c r="AZ471" t="s">
        <v>74</v>
      </c>
      <c r="BA471" t="s">
        <v>74</v>
      </c>
      <c r="BB471">
        <v>1099</v>
      </c>
      <c r="BC471">
        <v>1110</v>
      </c>
      <c r="BD471" t="s">
        <v>74</v>
      </c>
      <c r="BE471" t="s">
        <v>7712</v>
      </c>
      <c r="BF471" t="str">
        <f>HYPERLINK("http://dx.doi.org/10.1007/s00227-006-0548-1","http://dx.doi.org/10.1007/s00227-006-0548-1")</f>
        <v>http://dx.doi.org/10.1007/s00227-006-0548-1</v>
      </c>
      <c r="BG471" t="s">
        <v>74</v>
      </c>
      <c r="BH471" t="s">
        <v>74</v>
      </c>
      <c r="BI471">
        <v>12</v>
      </c>
      <c r="BJ471" t="s">
        <v>2178</v>
      </c>
      <c r="BK471" t="s">
        <v>98</v>
      </c>
      <c r="BL471" t="s">
        <v>2178</v>
      </c>
      <c r="BM471" t="s">
        <v>7701</v>
      </c>
      <c r="BN471" t="s">
        <v>74</v>
      </c>
      <c r="BO471" t="s">
        <v>223</v>
      </c>
      <c r="BP471" t="s">
        <v>74</v>
      </c>
      <c r="BQ471" t="s">
        <v>74</v>
      </c>
      <c r="BR471" t="s">
        <v>101</v>
      </c>
      <c r="BS471" t="s">
        <v>7713</v>
      </c>
      <c r="BT471" t="str">
        <f>HYPERLINK("https%3A%2F%2Fwww.webofscience.com%2Fwos%2Fwoscc%2Ffull-record%2FWOS:000246098900025","View Full Record in Web of Science")</f>
        <v>View Full Record in Web of Science</v>
      </c>
    </row>
    <row r="472" spans="1:72" x14ac:dyDescent="0.15">
      <c r="A472" t="s">
        <v>72</v>
      </c>
      <c r="B472" t="s">
        <v>7714</v>
      </c>
      <c r="C472" t="s">
        <v>74</v>
      </c>
      <c r="D472" t="s">
        <v>74</v>
      </c>
      <c r="E472" t="s">
        <v>74</v>
      </c>
      <c r="F472" t="s">
        <v>7715</v>
      </c>
      <c r="G472" t="s">
        <v>74</v>
      </c>
      <c r="H472" t="s">
        <v>74</v>
      </c>
      <c r="I472" t="s">
        <v>7716</v>
      </c>
      <c r="J472" t="s">
        <v>7717</v>
      </c>
      <c r="K472" t="s">
        <v>74</v>
      </c>
      <c r="L472" t="s">
        <v>74</v>
      </c>
      <c r="M472" t="s">
        <v>78</v>
      </c>
      <c r="N472" t="s">
        <v>248</v>
      </c>
      <c r="O472" t="s">
        <v>74</v>
      </c>
      <c r="P472" t="s">
        <v>74</v>
      </c>
      <c r="Q472" t="s">
        <v>74</v>
      </c>
      <c r="R472" t="s">
        <v>74</v>
      </c>
      <c r="S472" t="s">
        <v>74</v>
      </c>
      <c r="T472" t="s">
        <v>7718</v>
      </c>
      <c r="U472" t="s">
        <v>7719</v>
      </c>
      <c r="V472" t="s">
        <v>7720</v>
      </c>
      <c r="W472" t="s">
        <v>7721</v>
      </c>
      <c r="X472" t="s">
        <v>7722</v>
      </c>
      <c r="Y472" t="s">
        <v>7723</v>
      </c>
      <c r="Z472" t="s">
        <v>7724</v>
      </c>
      <c r="AA472" t="s">
        <v>7725</v>
      </c>
      <c r="AB472" t="s">
        <v>7726</v>
      </c>
      <c r="AC472" t="s">
        <v>74</v>
      </c>
      <c r="AD472" t="s">
        <v>74</v>
      </c>
      <c r="AE472" t="s">
        <v>74</v>
      </c>
      <c r="AF472" t="s">
        <v>74</v>
      </c>
      <c r="AG472">
        <v>74</v>
      </c>
      <c r="AH472">
        <v>119</v>
      </c>
      <c r="AI472">
        <v>133</v>
      </c>
      <c r="AJ472">
        <v>2</v>
      </c>
      <c r="AK472">
        <v>78</v>
      </c>
      <c r="AL472" t="s">
        <v>1592</v>
      </c>
      <c r="AM472" t="s">
        <v>1593</v>
      </c>
      <c r="AN472" t="s">
        <v>1594</v>
      </c>
      <c r="AO472" t="s">
        <v>7727</v>
      </c>
      <c r="AP472" t="s">
        <v>7728</v>
      </c>
      <c r="AQ472" t="s">
        <v>74</v>
      </c>
      <c r="AR472" t="s">
        <v>7729</v>
      </c>
      <c r="AS472" t="s">
        <v>7730</v>
      </c>
      <c r="AT472" t="s">
        <v>6895</v>
      </c>
      <c r="AU472">
        <v>2007</v>
      </c>
      <c r="AV472">
        <v>9</v>
      </c>
      <c r="AW472">
        <v>3</v>
      </c>
      <c r="AX472" t="s">
        <v>74</v>
      </c>
      <c r="AY472" t="s">
        <v>74</v>
      </c>
      <c r="AZ472" t="s">
        <v>74</v>
      </c>
      <c r="BA472" t="s">
        <v>74</v>
      </c>
      <c r="BB472">
        <v>293</v>
      </c>
      <c r="BC472">
        <v>304</v>
      </c>
      <c r="BD472" t="s">
        <v>74</v>
      </c>
      <c r="BE472" t="s">
        <v>7731</v>
      </c>
      <c r="BF472" t="str">
        <f>HYPERLINK("http://dx.doi.org/10.1007/s10126-006-6103-8","http://dx.doi.org/10.1007/s10126-006-6103-8")</f>
        <v>http://dx.doi.org/10.1007/s10126-006-6103-8</v>
      </c>
      <c r="BG472" t="s">
        <v>74</v>
      </c>
      <c r="BH472" t="s">
        <v>74</v>
      </c>
      <c r="BI472">
        <v>12</v>
      </c>
      <c r="BJ472" t="s">
        <v>7732</v>
      </c>
      <c r="BK472" t="s">
        <v>98</v>
      </c>
      <c r="BL472" t="s">
        <v>7732</v>
      </c>
      <c r="BM472" t="s">
        <v>7733</v>
      </c>
      <c r="BN472">
        <v>17195087</v>
      </c>
      <c r="BO472" t="s">
        <v>74</v>
      </c>
      <c r="BP472" t="s">
        <v>74</v>
      </c>
      <c r="BQ472" t="s">
        <v>74</v>
      </c>
      <c r="BR472" t="s">
        <v>101</v>
      </c>
      <c r="BS472" t="s">
        <v>7734</v>
      </c>
      <c r="BT472" t="str">
        <f>HYPERLINK("https%3A%2F%2Fwww.webofscience.com%2Fwos%2Fwoscc%2Ffull-record%2FWOS:000247207600001","View Full Record in Web of Science")</f>
        <v>View Full Record in Web of Science</v>
      </c>
    </row>
    <row r="473" spans="1:72" x14ac:dyDescent="0.15">
      <c r="A473" t="s">
        <v>72</v>
      </c>
      <c r="B473" t="s">
        <v>7735</v>
      </c>
      <c r="C473" t="s">
        <v>74</v>
      </c>
      <c r="D473" t="s">
        <v>74</v>
      </c>
      <c r="E473" t="s">
        <v>74</v>
      </c>
      <c r="F473" t="s">
        <v>7736</v>
      </c>
      <c r="G473" t="s">
        <v>74</v>
      </c>
      <c r="H473" t="s">
        <v>74</v>
      </c>
      <c r="I473" t="s">
        <v>7737</v>
      </c>
      <c r="J473" t="s">
        <v>7738</v>
      </c>
      <c r="K473" t="s">
        <v>74</v>
      </c>
      <c r="L473" t="s">
        <v>74</v>
      </c>
      <c r="M473" t="s">
        <v>78</v>
      </c>
      <c r="N473" t="s">
        <v>79</v>
      </c>
      <c r="O473" t="s">
        <v>74</v>
      </c>
      <c r="P473" t="s">
        <v>74</v>
      </c>
      <c r="Q473" t="s">
        <v>74</v>
      </c>
      <c r="R473" t="s">
        <v>74</v>
      </c>
      <c r="S473" t="s">
        <v>74</v>
      </c>
      <c r="T473" t="s">
        <v>7739</v>
      </c>
      <c r="U473" t="s">
        <v>74</v>
      </c>
      <c r="V473" t="s">
        <v>7740</v>
      </c>
      <c r="W473" t="s">
        <v>7741</v>
      </c>
      <c r="X473" t="s">
        <v>7742</v>
      </c>
      <c r="Y473" t="s">
        <v>7743</v>
      </c>
      <c r="Z473" t="s">
        <v>7744</v>
      </c>
      <c r="AA473" t="s">
        <v>74</v>
      </c>
      <c r="AB473" t="s">
        <v>74</v>
      </c>
      <c r="AC473" t="s">
        <v>74</v>
      </c>
      <c r="AD473" t="s">
        <v>74</v>
      </c>
      <c r="AE473" t="s">
        <v>74</v>
      </c>
      <c r="AF473" t="s">
        <v>74</v>
      </c>
      <c r="AG473">
        <v>27</v>
      </c>
      <c r="AH473">
        <v>37</v>
      </c>
      <c r="AI473">
        <v>39</v>
      </c>
      <c r="AJ473">
        <v>3</v>
      </c>
      <c r="AK473">
        <v>73</v>
      </c>
      <c r="AL473" t="s">
        <v>2740</v>
      </c>
      <c r="AM473" t="s">
        <v>1504</v>
      </c>
      <c r="AN473" t="s">
        <v>2741</v>
      </c>
      <c r="AO473" t="s">
        <v>7745</v>
      </c>
      <c r="AP473" t="s">
        <v>74</v>
      </c>
      <c r="AQ473" t="s">
        <v>74</v>
      </c>
      <c r="AR473" t="s">
        <v>7746</v>
      </c>
      <c r="AS473" t="s">
        <v>7747</v>
      </c>
      <c r="AT473" t="s">
        <v>6858</v>
      </c>
      <c r="AU473">
        <v>2007</v>
      </c>
      <c r="AV473">
        <v>31</v>
      </c>
      <c r="AW473">
        <v>3</v>
      </c>
      <c r="AX473" t="s">
        <v>74</v>
      </c>
      <c r="AY473" t="s">
        <v>74</v>
      </c>
      <c r="AZ473" t="s">
        <v>74</v>
      </c>
      <c r="BA473" t="s">
        <v>74</v>
      </c>
      <c r="BB473">
        <v>314</v>
      </c>
      <c r="BC473">
        <v>319</v>
      </c>
      <c r="BD473" t="s">
        <v>74</v>
      </c>
      <c r="BE473" t="s">
        <v>7748</v>
      </c>
      <c r="BF473" t="str">
        <f>HYPERLINK("http://dx.doi.org/10.1016/j.marpol.2006.09.004","http://dx.doi.org/10.1016/j.marpol.2006.09.004")</f>
        <v>http://dx.doi.org/10.1016/j.marpol.2006.09.004</v>
      </c>
      <c r="BG473" t="s">
        <v>74</v>
      </c>
      <c r="BH473" t="s">
        <v>74</v>
      </c>
      <c r="BI473">
        <v>6</v>
      </c>
      <c r="BJ473" t="s">
        <v>7749</v>
      </c>
      <c r="BK473" t="s">
        <v>2746</v>
      </c>
      <c r="BL473" t="s">
        <v>7750</v>
      </c>
      <c r="BM473" t="s">
        <v>7751</v>
      </c>
      <c r="BN473" t="s">
        <v>74</v>
      </c>
      <c r="BO473" t="s">
        <v>198</v>
      </c>
      <c r="BP473" t="s">
        <v>74</v>
      </c>
      <c r="BQ473" t="s">
        <v>74</v>
      </c>
      <c r="BR473" t="s">
        <v>101</v>
      </c>
      <c r="BS473" t="s">
        <v>7752</v>
      </c>
      <c r="BT473" t="str">
        <f>HYPERLINK("https%3A%2F%2Fwww.webofscience.com%2Fwos%2Fwoscc%2Ffull-record%2FWOS:000244393800010","View Full Record in Web of Science")</f>
        <v>View Full Record in Web of Science</v>
      </c>
    </row>
    <row r="474" spans="1:72" x14ac:dyDescent="0.15">
      <c r="A474" t="s">
        <v>72</v>
      </c>
      <c r="B474" t="s">
        <v>7753</v>
      </c>
      <c r="C474" t="s">
        <v>74</v>
      </c>
      <c r="D474" t="s">
        <v>74</v>
      </c>
      <c r="E474" t="s">
        <v>74</v>
      </c>
      <c r="F474" t="s">
        <v>7754</v>
      </c>
      <c r="G474" t="s">
        <v>74</v>
      </c>
      <c r="H474" t="s">
        <v>74</v>
      </c>
      <c r="I474" t="s">
        <v>7755</v>
      </c>
      <c r="J474" t="s">
        <v>7756</v>
      </c>
      <c r="K474" t="s">
        <v>74</v>
      </c>
      <c r="L474" t="s">
        <v>74</v>
      </c>
      <c r="M474" t="s">
        <v>78</v>
      </c>
      <c r="N474" t="s">
        <v>79</v>
      </c>
      <c r="O474" t="s">
        <v>74</v>
      </c>
      <c r="P474" t="s">
        <v>74</v>
      </c>
      <c r="Q474" t="s">
        <v>74</v>
      </c>
      <c r="R474" t="s">
        <v>74</v>
      </c>
      <c r="S474" t="s">
        <v>74</v>
      </c>
      <c r="T474" t="s">
        <v>74</v>
      </c>
      <c r="U474" t="s">
        <v>74</v>
      </c>
      <c r="V474" t="s">
        <v>7757</v>
      </c>
      <c r="W474" t="s">
        <v>7758</v>
      </c>
      <c r="X474" t="s">
        <v>7759</v>
      </c>
      <c r="Y474" t="s">
        <v>7760</v>
      </c>
      <c r="Z474" t="s">
        <v>74</v>
      </c>
      <c r="AA474" t="s">
        <v>74</v>
      </c>
      <c r="AB474" t="s">
        <v>74</v>
      </c>
      <c r="AC474" t="s">
        <v>74</v>
      </c>
      <c r="AD474" t="s">
        <v>74</v>
      </c>
      <c r="AE474" t="s">
        <v>74</v>
      </c>
      <c r="AF474" t="s">
        <v>74</v>
      </c>
      <c r="AG474">
        <v>13</v>
      </c>
      <c r="AH474">
        <v>0</v>
      </c>
      <c r="AI474">
        <v>0</v>
      </c>
      <c r="AJ474">
        <v>0</v>
      </c>
      <c r="AK474">
        <v>0</v>
      </c>
      <c r="AL474" t="s">
        <v>7761</v>
      </c>
      <c r="AM474" t="s">
        <v>7762</v>
      </c>
      <c r="AN474" t="s">
        <v>7763</v>
      </c>
      <c r="AO474" t="s">
        <v>7764</v>
      </c>
      <c r="AP474" t="s">
        <v>7765</v>
      </c>
      <c r="AQ474" t="s">
        <v>74</v>
      </c>
      <c r="AR474" t="s">
        <v>7766</v>
      </c>
      <c r="AS474" t="s">
        <v>7767</v>
      </c>
      <c r="AT474" t="s">
        <v>6858</v>
      </c>
      <c r="AU474">
        <v>2007</v>
      </c>
      <c r="AV474">
        <v>8</v>
      </c>
      <c r="AW474">
        <v>1</v>
      </c>
      <c r="AX474" t="s">
        <v>74</v>
      </c>
      <c r="AY474" t="s">
        <v>74</v>
      </c>
      <c r="AZ474" t="s">
        <v>74</v>
      </c>
      <c r="BA474" t="s">
        <v>74</v>
      </c>
      <c r="BB474" t="s">
        <v>74</v>
      </c>
      <c r="BC474" t="s">
        <v>74</v>
      </c>
      <c r="BD474" t="s">
        <v>74</v>
      </c>
      <c r="BE474" t="s">
        <v>74</v>
      </c>
      <c r="BF474" t="s">
        <v>74</v>
      </c>
      <c r="BG474" t="s">
        <v>74</v>
      </c>
      <c r="BH474" t="s">
        <v>74</v>
      </c>
      <c r="BI474">
        <v>17</v>
      </c>
      <c r="BJ474" t="s">
        <v>7768</v>
      </c>
      <c r="BK474" t="s">
        <v>4083</v>
      </c>
      <c r="BL474" t="s">
        <v>7769</v>
      </c>
      <c r="BM474" t="s">
        <v>7770</v>
      </c>
      <c r="BN474" t="s">
        <v>74</v>
      </c>
      <c r="BO474" t="s">
        <v>74</v>
      </c>
      <c r="BP474" t="s">
        <v>74</v>
      </c>
      <c r="BQ474" t="s">
        <v>74</v>
      </c>
      <c r="BR474" t="s">
        <v>101</v>
      </c>
      <c r="BS474" t="s">
        <v>7771</v>
      </c>
      <c r="BT474" t="str">
        <f>HYPERLINK("https%3A%2F%2Fwww.webofscience.com%2Fwos%2Fwoscc%2Ffull-record%2FWOS:000213521700006","View Full Record in Web of Science")</f>
        <v>View Full Record in Web of Science</v>
      </c>
    </row>
    <row r="475" spans="1:72" x14ac:dyDescent="0.15">
      <c r="A475" t="s">
        <v>72</v>
      </c>
      <c r="B475" t="s">
        <v>7772</v>
      </c>
      <c r="C475" t="s">
        <v>74</v>
      </c>
      <c r="D475" t="s">
        <v>74</v>
      </c>
      <c r="E475" t="s">
        <v>74</v>
      </c>
      <c r="F475" t="s">
        <v>7773</v>
      </c>
      <c r="G475" t="s">
        <v>74</v>
      </c>
      <c r="H475" t="s">
        <v>74</v>
      </c>
      <c r="I475" t="s">
        <v>7774</v>
      </c>
      <c r="J475" t="s">
        <v>7775</v>
      </c>
      <c r="K475" t="s">
        <v>74</v>
      </c>
      <c r="L475" t="s">
        <v>74</v>
      </c>
      <c r="M475" t="s">
        <v>78</v>
      </c>
      <c r="N475" t="s">
        <v>79</v>
      </c>
      <c r="O475" t="s">
        <v>74</v>
      </c>
      <c r="P475" t="s">
        <v>74</v>
      </c>
      <c r="Q475" t="s">
        <v>74</v>
      </c>
      <c r="R475" t="s">
        <v>74</v>
      </c>
      <c r="S475" t="s">
        <v>74</v>
      </c>
      <c r="T475" t="s">
        <v>74</v>
      </c>
      <c r="U475" t="s">
        <v>7776</v>
      </c>
      <c r="V475" t="s">
        <v>7777</v>
      </c>
      <c r="W475" t="s">
        <v>7778</v>
      </c>
      <c r="X475" t="s">
        <v>7779</v>
      </c>
      <c r="Y475" t="s">
        <v>7780</v>
      </c>
      <c r="Z475" t="s">
        <v>7781</v>
      </c>
      <c r="AA475" t="s">
        <v>7782</v>
      </c>
      <c r="AB475" t="s">
        <v>74</v>
      </c>
      <c r="AC475" t="s">
        <v>74</v>
      </c>
      <c r="AD475" t="s">
        <v>74</v>
      </c>
      <c r="AE475" t="s">
        <v>74</v>
      </c>
      <c r="AF475" t="s">
        <v>74</v>
      </c>
      <c r="AG475">
        <v>37</v>
      </c>
      <c r="AH475">
        <v>136</v>
      </c>
      <c r="AI475">
        <v>151</v>
      </c>
      <c r="AJ475">
        <v>1</v>
      </c>
      <c r="AK475">
        <v>27</v>
      </c>
      <c r="AL475" t="s">
        <v>567</v>
      </c>
      <c r="AM475" t="s">
        <v>568</v>
      </c>
      <c r="AN475" t="s">
        <v>569</v>
      </c>
      <c r="AO475" t="s">
        <v>7783</v>
      </c>
      <c r="AP475" t="s">
        <v>7784</v>
      </c>
      <c r="AQ475" t="s">
        <v>74</v>
      </c>
      <c r="AR475" t="s">
        <v>7785</v>
      </c>
      <c r="AS475" t="s">
        <v>7786</v>
      </c>
      <c r="AT475" t="s">
        <v>6858</v>
      </c>
      <c r="AU475">
        <v>2007</v>
      </c>
      <c r="AV475">
        <v>135</v>
      </c>
      <c r="AW475">
        <v>5</v>
      </c>
      <c r="AX475" t="s">
        <v>74</v>
      </c>
      <c r="AY475" t="s">
        <v>74</v>
      </c>
      <c r="AZ475" t="s">
        <v>74</v>
      </c>
      <c r="BA475" t="s">
        <v>74</v>
      </c>
      <c r="BB475">
        <v>1961</v>
      </c>
      <c r="BC475">
        <v>1973</v>
      </c>
      <c r="BD475" t="s">
        <v>74</v>
      </c>
      <c r="BE475" t="s">
        <v>7787</v>
      </c>
      <c r="BF475" t="str">
        <f>HYPERLINK("http://dx.doi.org/10.1175/MWR3374.1","http://dx.doi.org/10.1175/MWR3374.1")</f>
        <v>http://dx.doi.org/10.1175/MWR3374.1</v>
      </c>
      <c r="BG475" t="s">
        <v>74</v>
      </c>
      <c r="BH475" t="s">
        <v>74</v>
      </c>
      <c r="BI475">
        <v>13</v>
      </c>
      <c r="BJ475" t="s">
        <v>435</v>
      </c>
      <c r="BK475" t="s">
        <v>98</v>
      </c>
      <c r="BL475" t="s">
        <v>435</v>
      </c>
      <c r="BM475" t="s">
        <v>7788</v>
      </c>
      <c r="BN475" t="s">
        <v>74</v>
      </c>
      <c r="BO475" t="s">
        <v>154</v>
      </c>
      <c r="BP475" t="s">
        <v>74</v>
      </c>
      <c r="BQ475" t="s">
        <v>74</v>
      </c>
      <c r="BR475" t="s">
        <v>101</v>
      </c>
      <c r="BS475" t="s">
        <v>7789</v>
      </c>
      <c r="BT475" t="str">
        <f>HYPERLINK("https%3A%2F%2Fwww.webofscience.com%2Fwos%2Fwoscc%2Ffull-record%2FWOS:000246366700019","View Full Record in Web of Science")</f>
        <v>View Full Record in Web of Science</v>
      </c>
    </row>
    <row r="476" spans="1:72" x14ac:dyDescent="0.15">
      <c r="A476" t="s">
        <v>72</v>
      </c>
      <c r="B476" t="s">
        <v>7790</v>
      </c>
      <c r="C476" t="s">
        <v>74</v>
      </c>
      <c r="D476" t="s">
        <v>74</v>
      </c>
      <c r="E476" t="s">
        <v>74</v>
      </c>
      <c r="F476" t="s">
        <v>7791</v>
      </c>
      <c r="G476" t="s">
        <v>74</v>
      </c>
      <c r="H476" t="s">
        <v>74</v>
      </c>
      <c r="I476" t="s">
        <v>7792</v>
      </c>
      <c r="J476" t="s">
        <v>7793</v>
      </c>
      <c r="K476" t="s">
        <v>74</v>
      </c>
      <c r="L476" t="s">
        <v>74</v>
      </c>
      <c r="M476" t="s">
        <v>78</v>
      </c>
      <c r="N476" t="s">
        <v>79</v>
      </c>
      <c r="O476" t="s">
        <v>74</v>
      </c>
      <c r="P476" t="s">
        <v>74</v>
      </c>
      <c r="Q476" t="s">
        <v>74</v>
      </c>
      <c r="R476" t="s">
        <v>74</v>
      </c>
      <c r="S476" t="s">
        <v>74</v>
      </c>
      <c r="T476" t="s">
        <v>7794</v>
      </c>
      <c r="U476" t="s">
        <v>7795</v>
      </c>
      <c r="V476" t="s">
        <v>7796</v>
      </c>
      <c r="W476" t="s">
        <v>7797</v>
      </c>
      <c r="X476" t="s">
        <v>7798</v>
      </c>
      <c r="Y476" t="s">
        <v>7799</v>
      </c>
      <c r="Z476" t="s">
        <v>7800</v>
      </c>
      <c r="AA476" t="s">
        <v>74</v>
      </c>
      <c r="AB476" t="s">
        <v>7801</v>
      </c>
      <c r="AC476" t="s">
        <v>74</v>
      </c>
      <c r="AD476" t="s">
        <v>74</v>
      </c>
      <c r="AE476" t="s">
        <v>74</v>
      </c>
      <c r="AF476" t="s">
        <v>74</v>
      </c>
      <c r="AG476">
        <v>88</v>
      </c>
      <c r="AH476">
        <v>30</v>
      </c>
      <c r="AI476">
        <v>39</v>
      </c>
      <c r="AJ476">
        <v>1</v>
      </c>
      <c r="AK476">
        <v>8</v>
      </c>
      <c r="AL476" t="s">
        <v>2740</v>
      </c>
      <c r="AM476" t="s">
        <v>1504</v>
      </c>
      <c r="AN476" t="s">
        <v>2741</v>
      </c>
      <c r="AO476" t="s">
        <v>7802</v>
      </c>
      <c r="AP476" t="s">
        <v>74</v>
      </c>
      <c r="AQ476" t="s">
        <v>74</v>
      </c>
      <c r="AR476" t="s">
        <v>7803</v>
      </c>
      <c r="AS476" t="s">
        <v>7804</v>
      </c>
      <c r="AT476" t="s">
        <v>6858</v>
      </c>
      <c r="AU476">
        <v>2007</v>
      </c>
      <c r="AV476">
        <v>111</v>
      </c>
      <c r="AW476" t="s">
        <v>74</v>
      </c>
      <c r="AX476">
        <v>5</v>
      </c>
      <c r="AY476" t="s">
        <v>74</v>
      </c>
      <c r="AZ476" t="s">
        <v>74</v>
      </c>
      <c r="BA476" t="s">
        <v>74</v>
      </c>
      <c r="BB476">
        <v>581</v>
      </c>
      <c r="BC476">
        <v>591</v>
      </c>
      <c r="BD476" t="s">
        <v>74</v>
      </c>
      <c r="BE476" t="s">
        <v>7805</v>
      </c>
      <c r="BF476" t="str">
        <f>HYPERLINK("http://dx.doi.org/10.1016/j.mycres.2007.03.001","http://dx.doi.org/10.1016/j.mycres.2007.03.001")</f>
        <v>http://dx.doi.org/10.1016/j.mycres.2007.03.001</v>
      </c>
      <c r="BG476" t="s">
        <v>74</v>
      </c>
      <c r="BH476" t="s">
        <v>74</v>
      </c>
      <c r="BI476">
        <v>11</v>
      </c>
      <c r="BJ476" t="s">
        <v>7806</v>
      </c>
      <c r="BK476" t="s">
        <v>98</v>
      </c>
      <c r="BL476" t="s">
        <v>7806</v>
      </c>
      <c r="BM476" t="s">
        <v>7807</v>
      </c>
      <c r="BN476">
        <v>17512709</v>
      </c>
      <c r="BO476" t="s">
        <v>74</v>
      </c>
      <c r="BP476" t="s">
        <v>74</v>
      </c>
      <c r="BQ476" t="s">
        <v>74</v>
      </c>
      <c r="BR476" t="s">
        <v>101</v>
      </c>
      <c r="BS476" t="s">
        <v>7808</v>
      </c>
      <c r="BT476" t="str">
        <f>HYPERLINK("https%3A%2F%2Fwww.webofscience.com%2Fwos%2Fwoscc%2Ffull-record%2FWOS:000247865900005","View Full Record in Web of Science")</f>
        <v>View Full Record in Web of Science</v>
      </c>
    </row>
    <row r="477" spans="1:72" x14ac:dyDescent="0.15">
      <c r="A477" t="s">
        <v>72</v>
      </c>
      <c r="B477" t="s">
        <v>7809</v>
      </c>
      <c r="C477" t="s">
        <v>74</v>
      </c>
      <c r="D477" t="s">
        <v>74</v>
      </c>
      <c r="E477" t="s">
        <v>74</v>
      </c>
      <c r="F477" t="s">
        <v>7810</v>
      </c>
      <c r="G477" t="s">
        <v>74</v>
      </c>
      <c r="H477" t="s">
        <v>74</v>
      </c>
      <c r="I477" t="s">
        <v>7811</v>
      </c>
      <c r="J477" t="s">
        <v>2416</v>
      </c>
      <c r="K477" t="s">
        <v>74</v>
      </c>
      <c r="L477" t="s">
        <v>74</v>
      </c>
      <c r="M477" t="s">
        <v>78</v>
      </c>
      <c r="N477" t="s">
        <v>79</v>
      </c>
      <c r="O477" t="s">
        <v>74</v>
      </c>
      <c r="P477" t="s">
        <v>74</v>
      </c>
      <c r="Q477" t="s">
        <v>74</v>
      </c>
      <c r="R477" t="s">
        <v>74</v>
      </c>
      <c r="S477" t="s">
        <v>74</v>
      </c>
      <c r="T477" t="s">
        <v>74</v>
      </c>
      <c r="U477" t="s">
        <v>7812</v>
      </c>
      <c r="V477" t="s">
        <v>7813</v>
      </c>
      <c r="W477" t="s">
        <v>7814</v>
      </c>
      <c r="X477" t="s">
        <v>7815</v>
      </c>
      <c r="Y477" t="s">
        <v>7816</v>
      </c>
      <c r="Z477" t="s">
        <v>7817</v>
      </c>
      <c r="AA477" t="s">
        <v>7818</v>
      </c>
      <c r="AB477" t="s">
        <v>7819</v>
      </c>
      <c r="AC477" t="s">
        <v>74</v>
      </c>
      <c r="AD477" t="s">
        <v>74</v>
      </c>
      <c r="AE477" t="s">
        <v>74</v>
      </c>
      <c r="AF477" t="s">
        <v>74</v>
      </c>
      <c r="AG477">
        <v>62</v>
      </c>
      <c r="AH477">
        <v>34</v>
      </c>
      <c r="AI477">
        <v>39</v>
      </c>
      <c r="AJ477">
        <v>0</v>
      </c>
      <c r="AK477">
        <v>6</v>
      </c>
      <c r="AL477" t="s">
        <v>3589</v>
      </c>
      <c r="AM477" t="s">
        <v>1504</v>
      </c>
      <c r="AN477" t="s">
        <v>3590</v>
      </c>
      <c r="AO477" t="s">
        <v>2425</v>
      </c>
      <c r="AP477" t="s">
        <v>74</v>
      </c>
      <c r="AQ477" t="s">
        <v>74</v>
      </c>
      <c r="AR477" t="s">
        <v>2416</v>
      </c>
      <c r="AS477" t="s">
        <v>2427</v>
      </c>
      <c r="AT477" t="s">
        <v>6858</v>
      </c>
      <c r="AU477">
        <v>2007</v>
      </c>
      <c r="AV477">
        <v>116</v>
      </c>
      <c r="AW477">
        <v>5</v>
      </c>
      <c r="AX477" t="s">
        <v>74</v>
      </c>
      <c r="AY477" t="s">
        <v>74</v>
      </c>
      <c r="AZ477" t="s">
        <v>74</v>
      </c>
      <c r="BA477" t="s">
        <v>74</v>
      </c>
      <c r="BB477">
        <v>893</v>
      </c>
      <c r="BC477">
        <v>902</v>
      </c>
      <c r="BD477" t="s">
        <v>74</v>
      </c>
      <c r="BE477" t="s">
        <v>7820</v>
      </c>
      <c r="BF477" t="str">
        <f>HYPERLINK("http://dx.doi.org/10.1111/j.2007.0030-1299.15766.x","http://dx.doi.org/10.1111/j.2007.0030-1299.15766.x")</f>
        <v>http://dx.doi.org/10.1111/j.2007.0030-1299.15766.x</v>
      </c>
      <c r="BG477" t="s">
        <v>74</v>
      </c>
      <c r="BH477" t="s">
        <v>74</v>
      </c>
      <c r="BI477">
        <v>10</v>
      </c>
      <c r="BJ477" t="s">
        <v>910</v>
      </c>
      <c r="BK477" t="s">
        <v>98</v>
      </c>
      <c r="BL477" t="s">
        <v>911</v>
      </c>
      <c r="BM477" t="s">
        <v>7821</v>
      </c>
      <c r="BN477" t="s">
        <v>74</v>
      </c>
      <c r="BO477" t="s">
        <v>74</v>
      </c>
      <c r="BP477" t="s">
        <v>74</v>
      </c>
      <c r="BQ477" t="s">
        <v>74</v>
      </c>
      <c r="BR477" t="s">
        <v>101</v>
      </c>
      <c r="BS477" t="s">
        <v>7822</v>
      </c>
      <c r="BT477" t="str">
        <f>HYPERLINK("https%3A%2F%2Fwww.webofscience.com%2Fwos%2Fwoscc%2Ffull-record%2FWOS:000245814500018","View Full Record in Web of Science")</f>
        <v>View Full Record in Web of Science</v>
      </c>
    </row>
    <row r="478" spans="1:72" x14ac:dyDescent="0.15">
      <c r="A478" t="s">
        <v>72</v>
      </c>
      <c r="B478" t="s">
        <v>7823</v>
      </c>
      <c r="C478" t="s">
        <v>74</v>
      </c>
      <c r="D478" t="s">
        <v>74</v>
      </c>
      <c r="E478" t="s">
        <v>74</v>
      </c>
      <c r="F478" t="s">
        <v>7824</v>
      </c>
      <c r="G478" t="s">
        <v>74</v>
      </c>
      <c r="H478" t="s">
        <v>74</v>
      </c>
      <c r="I478" t="s">
        <v>7825</v>
      </c>
      <c r="J478" t="s">
        <v>7826</v>
      </c>
      <c r="K478" t="s">
        <v>74</v>
      </c>
      <c r="L478" t="s">
        <v>74</v>
      </c>
      <c r="M478" t="s">
        <v>78</v>
      </c>
      <c r="N478" t="s">
        <v>79</v>
      </c>
      <c r="O478" t="s">
        <v>74</v>
      </c>
      <c r="P478" t="s">
        <v>74</v>
      </c>
      <c r="Q478" t="s">
        <v>74</v>
      </c>
      <c r="R478" t="s">
        <v>74</v>
      </c>
      <c r="S478" t="s">
        <v>74</v>
      </c>
      <c r="T478" t="s">
        <v>7827</v>
      </c>
      <c r="U478" t="s">
        <v>7828</v>
      </c>
      <c r="V478" t="s">
        <v>7829</v>
      </c>
      <c r="W478" t="s">
        <v>7830</v>
      </c>
      <c r="X478" t="s">
        <v>7831</v>
      </c>
      <c r="Y478" t="s">
        <v>5492</v>
      </c>
      <c r="Z478" t="s">
        <v>7832</v>
      </c>
      <c r="AA478" t="s">
        <v>7833</v>
      </c>
      <c r="AB478" t="s">
        <v>7834</v>
      </c>
      <c r="AC478" t="s">
        <v>74</v>
      </c>
      <c r="AD478" t="s">
        <v>74</v>
      </c>
      <c r="AE478" t="s">
        <v>74</v>
      </c>
      <c r="AF478" t="s">
        <v>74</v>
      </c>
      <c r="AG478">
        <v>37</v>
      </c>
      <c r="AH478">
        <v>36</v>
      </c>
      <c r="AI478">
        <v>38</v>
      </c>
      <c r="AJ478">
        <v>0</v>
      </c>
      <c r="AK478">
        <v>17</v>
      </c>
      <c r="AL478" t="s">
        <v>1592</v>
      </c>
      <c r="AM478" t="s">
        <v>1593</v>
      </c>
      <c r="AN478" t="s">
        <v>1594</v>
      </c>
      <c r="AO478" t="s">
        <v>7835</v>
      </c>
      <c r="AP478" t="s">
        <v>7836</v>
      </c>
      <c r="AQ478" t="s">
        <v>74</v>
      </c>
      <c r="AR478" t="s">
        <v>7826</v>
      </c>
      <c r="AS478" t="s">
        <v>7837</v>
      </c>
      <c r="AT478" t="s">
        <v>6858</v>
      </c>
      <c r="AU478">
        <v>2007</v>
      </c>
      <c r="AV478">
        <v>225</v>
      </c>
      <c r="AW478">
        <v>6</v>
      </c>
      <c r="AX478" t="s">
        <v>74</v>
      </c>
      <c r="AY478" t="s">
        <v>74</v>
      </c>
      <c r="AZ478" t="s">
        <v>74</v>
      </c>
      <c r="BA478" t="s">
        <v>74</v>
      </c>
      <c r="BB478">
        <v>1505</v>
      </c>
      <c r="BC478">
        <v>1516</v>
      </c>
      <c r="BD478" t="s">
        <v>74</v>
      </c>
      <c r="BE478" t="s">
        <v>7838</v>
      </c>
      <c r="BF478" t="str">
        <f>HYPERLINK("http://dx.doi.org/10.1007/s00425-006-0436-4","http://dx.doi.org/10.1007/s00425-006-0436-4")</f>
        <v>http://dx.doi.org/10.1007/s00425-006-0436-4</v>
      </c>
      <c r="BG478" t="s">
        <v>74</v>
      </c>
      <c r="BH478" t="s">
        <v>74</v>
      </c>
      <c r="BI478">
        <v>12</v>
      </c>
      <c r="BJ478" t="s">
        <v>3433</v>
      </c>
      <c r="BK478" t="s">
        <v>98</v>
      </c>
      <c r="BL478" t="s">
        <v>3433</v>
      </c>
      <c r="BM478" t="s">
        <v>7839</v>
      </c>
      <c r="BN478">
        <v>17171375</v>
      </c>
      <c r="BO478" t="s">
        <v>1249</v>
      </c>
      <c r="BP478" t="s">
        <v>74</v>
      </c>
      <c r="BQ478" t="s">
        <v>74</v>
      </c>
      <c r="BR478" t="s">
        <v>101</v>
      </c>
      <c r="BS478" t="s">
        <v>7840</v>
      </c>
      <c r="BT478" t="str">
        <f>HYPERLINK("https%3A%2F%2Fwww.webofscience.com%2Fwos%2Fwoscc%2Ffull-record%2FWOS:000245852700015","View Full Record in Web of Science")</f>
        <v>View Full Record in Web of Science</v>
      </c>
    </row>
    <row r="479" spans="1:72" x14ac:dyDescent="0.15">
      <c r="A479" t="s">
        <v>72</v>
      </c>
      <c r="B479" t="s">
        <v>7841</v>
      </c>
      <c r="C479" t="s">
        <v>74</v>
      </c>
      <c r="D479" t="s">
        <v>74</v>
      </c>
      <c r="E479" t="s">
        <v>74</v>
      </c>
      <c r="F479" t="s">
        <v>7842</v>
      </c>
      <c r="G479" t="s">
        <v>74</v>
      </c>
      <c r="H479" t="s">
        <v>74</v>
      </c>
      <c r="I479" t="s">
        <v>7843</v>
      </c>
      <c r="J479" t="s">
        <v>2434</v>
      </c>
      <c r="K479" t="s">
        <v>74</v>
      </c>
      <c r="L479" t="s">
        <v>74</v>
      </c>
      <c r="M479" t="s">
        <v>78</v>
      </c>
      <c r="N479" t="s">
        <v>79</v>
      </c>
      <c r="O479" t="s">
        <v>74</v>
      </c>
      <c r="P479" t="s">
        <v>74</v>
      </c>
      <c r="Q479" t="s">
        <v>74</v>
      </c>
      <c r="R479" t="s">
        <v>74</v>
      </c>
      <c r="S479" t="s">
        <v>74</v>
      </c>
      <c r="T479" t="s">
        <v>7844</v>
      </c>
      <c r="U479" t="s">
        <v>7845</v>
      </c>
      <c r="V479" t="s">
        <v>7846</v>
      </c>
      <c r="W479" t="s">
        <v>7847</v>
      </c>
      <c r="X479" t="s">
        <v>7848</v>
      </c>
      <c r="Y479" t="s">
        <v>4888</v>
      </c>
      <c r="Z479" t="s">
        <v>4889</v>
      </c>
      <c r="AA479" t="s">
        <v>74</v>
      </c>
      <c r="AB479" t="s">
        <v>74</v>
      </c>
      <c r="AC479" t="s">
        <v>74</v>
      </c>
      <c r="AD479" t="s">
        <v>74</v>
      </c>
      <c r="AE479" t="s">
        <v>74</v>
      </c>
      <c r="AF479" t="s">
        <v>74</v>
      </c>
      <c r="AG479">
        <v>30</v>
      </c>
      <c r="AH479">
        <v>17</v>
      </c>
      <c r="AI479">
        <v>25</v>
      </c>
      <c r="AJ479">
        <v>0</v>
      </c>
      <c r="AK479">
        <v>17</v>
      </c>
      <c r="AL479" t="s">
        <v>1592</v>
      </c>
      <c r="AM479" t="s">
        <v>1593</v>
      </c>
      <c r="AN479" t="s">
        <v>2406</v>
      </c>
      <c r="AO479" t="s">
        <v>2442</v>
      </c>
      <c r="AP479" t="s">
        <v>2443</v>
      </c>
      <c r="AQ479" t="s">
        <v>74</v>
      </c>
      <c r="AR479" t="s">
        <v>2444</v>
      </c>
      <c r="AS479" t="s">
        <v>2445</v>
      </c>
      <c r="AT479" t="s">
        <v>6858</v>
      </c>
      <c r="AU479">
        <v>2007</v>
      </c>
      <c r="AV479">
        <v>30</v>
      </c>
      <c r="AW479">
        <v>6</v>
      </c>
      <c r="AX479" t="s">
        <v>74</v>
      </c>
      <c r="AY479" t="s">
        <v>74</v>
      </c>
      <c r="AZ479" t="s">
        <v>74</v>
      </c>
      <c r="BA479" t="s">
        <v>74</v>
      </c>
      <c r="BB479">
        <v>669</v>
      </c>
      <c r="BC479">
        <v>678</v>
      </c>
      <c r="BD479" t="s">
        <v>74</v>
      </c>
      <c r="BE479" t="s">
        <v>7849</v>
      </c>
      <c r="BF479" t="str">
        <f>HYPERLINK("http://dx.doi.org/10.1007/s00300-006-0224-4","http://dx.doi.org/10.1007/s00300-006-0224-4")</f>
        <v>http://dx.doi.org/10.1007/s00300-006-0224-4</v>
      </c>
      <c r="BG479" t="s">
        <v>74</v>
      </c>
      <c r="BH479" t="s">
        <v>74</v>
      </c>
      <c r="BI479">
        <v>10</v>
      </c>
      <c r="BJ479" t="s">
        <v>97</v>
      </c>
      <c r="BK479" t="s">
        <v>98</v>
      </c>
      <c r="BL479" t="s">
        <v>99</v>
      </c>
      <c r="BM479" t="s">
        <v>7850</v>
      </c>
      <c r="BN479" t="s">
        <v>74</v>
      </c>
      <c r="BO479" t="s">
        <v>3217</v>
      </c>
      <c r="BP479" t="s">
        <v>74</v>
      </c>
      <c r="BQ479" t="s">
        <v>74</v>
      </c>
      <c r="BR479" t="s">
        <v>101</v>
      </c>
      <c r="BS479" t="s">
        <v>7851</v>
      </c>
      <c r="BT479" t="str">
        <f>HYPERLINK("https%3A%2F%2Fwww.webofscience.com%2Fwos%2Fwoscc%2Ffull-record%2FWOS:000246100200001","View Full Record in Web of Science")</f>
        <v>View Full Record in Web of Science</v>
      </c>
    </row>
    <row r="480" spans="1:72" x14ac:dyDescent="0.15">
      <c r="A480" t="s">
        <v>72</v>
      </c>
      <c r="B480" t="s">
        <v>7852</v>
      </c>
      <c r="C480" t="s">
        <v>74</v>
      </c>
      <c r="D480" t="s">
        <v>74</v>
      </c>
      <c r="E480" t="s">
        <v>74</v>
      </c>
      <c r="F480" t="s">
        <v>7853</v>
      </c>
      <c r="G480" t="s">
        <v>74</v>
      </c>
      <c r="H480" t="s">
        <v>74</v>
      </c>
      <c r="I480" t="s">
        <v>7854</v>
      </c>
      <c r="J480" t="s">
        <v>2434</v>
      </c>
      <c r="K480" t="s">
        <v>74</v>
      </c>
      <c r="L480" t="s">
        <v>74</v>
      </c>
      <c r="M480" t="s">
        <v>78</v>
      </c>
      <c r="N480" t="s">
        <v>79</v>
      </c>
      <c r="O480" t="s">
        <v>74</v>
      </c>
      <c r="P480" t="s">
        <v>74</v>
      </c>
      <c r="Q480" t="s">
        <v>74</v>
      </c>
      <c r="R480" t="s">
        <v>74</v>
      </c>
      <c r="S480" t="s">
        <v>74</v>
      </c>
      <c r="T480" t="s">
        <v>74</v>
      </c>
      <c r="U480" t="s">
        <v>7855</v>
      </c>
      <c r="V480" t="s">
        <v>7856</v>
      </c>
      <c r="W480" t="s">
        <v>7857</v>
      </c>
      <c r="X480" t="s">
        <v>7858</v>
      </c>
      <c r="Y480" t="s">
        <v>7859</v>
      </c>
      <c r="Z480" t="s">
        <v>4963</v>
      </c>
      <c r="AA480" t="s">
        <v>4964</v>
      </c>
      <c r="AB480" t="s">
        <v>4965</v>
      </c>
      <c r="AC480" t="s">
        <v>74</v>
      </c>
      <c r="AD480" t="s">
        <v>74</v>
      </c>
      <c r="AE480" t="s">
        <v>74</v>
      </c>
      <c r="AF480" t="s">
        <v>74</v>
      </c>
      <c r="AG480">
        <v>40</v>
      </c>
      <c r="AH480">
        <v>42</v>
      </c>
      <c r="AI480">
        <v>50</v>
      </c>
      <c r="AJ480">
        <v>0</v>
      </c>
      <c r="AK480">
        <v>15</v>
      </c>
      <c r="AL480" t="s">
        <v>1592</v>
      </c>
      <c r="AM480" t="s">
        <v>1593</v>
      </c>
      <c r="AN480" t="s">
        <v>1594</v>
      </c>
      <c r="AO480" t="s">
        <v>2442</v>
      </c>
      <c r="AP480" t="s">
        <v>2443</v>
      </c>
      <c r="AQ480" t="s">
        <v>74</v>
      </c>
      <c r="AR480" t="s">
        <v>2444</v>
      </c>
      <c r="AS480" t="s">
        <v>2445</v>
      </c>
      <c r="AT480" t="s">
        <v>6858</v>
      </c>
      <c r="AU480">
        <v>2007</v>
      </c>
      <c r="AV480">
        <v>30</v>
      </c>
      <c r="AW480">
        <v>6</v>
      </c>
      <c r="AX480" t="s">
        <v>74</v>
      </c>
      <c r="AY480" t="s">
        <v>74</v>
      </c>
      <c r="AZ480" t="s">
        <v>74</v>
      </c>
      <c r="BA480" t="s">
        <v>74</v>
      </c>
      <c r="BB480">
        <v>689</v>
      </c>
      <c r="BC480">
        <v>698</v>
      </c>
      <c r="BD480" t="s">
        <v>74</v>
      </c>
      <c r="BE480" t="s">
        <v>7860</v>
      </c>
      <c r="BF480" t="str">
        <f>HYPERLINK("http://dx.doi.org/10.1007/s00300-006-0226-2","http://dx.doi.org/10.1007/s00300-006-0226-2")</f>
        <v>http://dx.doi.org/10.1007/s00300-006-0226-2</v>
      </c>
      <c r="BG480" t="s">
        <v>74</v>
      </c>
      <c r="BH480" t="s">
        <v>74</v>
      </c>
      <c r="BI480">
        <v>10</v>
      </c>
      <c r="BJ480" t="s">
        <v>97</v>
      </c>
      <c r="BK480" t="s">
        <v>98</v>
      </c>
      <c r="BL480" t="s">
        <v>99</v>
      </c>
      <c r="BM480" t="s">
        <v>7850</v>
      </c>
      <c r="BN480" t="s">
        <v>74</v>
      </c>
      <c r="BO480" t="s">
        <v>74</v>
      </c>
      <c r="BP480" t="s">
        <v>74</v>
      </c>
      <c r="BQ480" t="s">
        <v>74</v>
      </c>
      <c r="BR480" t="s">
        <v>101</v>
      </c>
      <c r="BS480" t="s">
        <v>7861</v>
      </c>
      <c r="BT480" t="str">
        <f>HYPERLINK("https%3A%2F%2Fwww.webofscience.com%2Fwos%2Fwoscc%2Ffull-record%2FWOS:000246100200003","View Full Record in Web of Science")</f>
        <v>View Full Record in Web of Science</v>
      </c>
    </row>
    <row r="481" spans="1:72" x14ac:dyDescent="0.15">
      <c r="A481" t="s">
        <v>72</v>
      </c>
      <c r="B481" t="s">
        <v>7862</v>
      </c>
      <c r="C481" t="s">
        <v>74</v>
      </c>
      <c r="D481" t="s">
        <v>74</v>
      </c>
      <c r="E481" t="s">
        <v>74</v>
      </c>
      <c r="F481" t="s">
        <v>7863</v>
      </c>
      <c r="G481" t="s">
        <v>74</v>
      </c>
      <c r="H481" t="s">
        <v>74</v>
      </c>
      <c r="I481" t="s">
        <v>7864</v>
      </c>
      <c r="J481" t="s">
        <v>2434</v>
      </c>
      <c r="K481" t="s">
        <v>74</v>
      </c>
      <c r="L481" t="s">
        <v>74</v>
      </c>
      <c r="M481" t="s">
        <v>78</v>
      </c>
      <c r="N481" t="s">
        <v>79</v>
      </c>
      <c r="O481" t="s">
        <v>74</v>
      </c>
      <c r="P481" t="s">
        <v>74</v>
      </c>
      <c r="Q481" t="s">
        <v>74</v>
      </c>
      <c r="R481" t="s">
        <v>74</v>
      </c>
      <c r="S481" t="s">
        <v>74</v>
      </c>
      <c r="T481" t="s">
        <v>7865</v>
      </c>
      <c r="U481" t="s">
        <v>7866</v>
      </c>
      <c r="V481" t="s">
        <v>7867</v>
      </c>
      <c r="W481" t="s">
        <v>7868</v>
      </c>
      <c r="X481" t="s">
        <v>7869</v>
      </c>
      <c r="Y481" t="s">
        <v>7870</v>
      </c>
      <c r="Z481" t="s">
        <v>7871</v>
      </c>
      <c r="AA481" t="s">
        <v>74</v>
      </c>
      <c r="AB481" t="s">
        <v>7872</v>
      </c>
      <c r="AC481" t="s">
        <v>74</v>
      </c>
      <c r="AD481" t="s">
        <v>74</v>
      </c>
      <c r="AE481" t="s">
        <v>74</v>
      </c>
      <c r="AF481" t="s">
        <v>74</v>
      </c>
      <c r="AG481">
        <v>21</v>
      </c>
      <c r="AH481">
        <v>7</v>
      </c>
      <c r="AI481">
        <v>8</v>
      </c>
      <c r="AJ481">
        <v>0</v>
      </c>
      <c r="AK481">
        <v>13</v>
      </c>
      <c r="AL481" t="s">
        <v>1592</v>
      </c>
      <c r="AM481" t="s">
        <v>1593</v>
      </c>
      <c r="AN481" t="s">
        <v>1594</v>
      </c>
      <c r="AO481" t="s">
        <v>2442</v>
      </c>
      <c r="AP481" t="s">
        <v>2443</v>
      </c>
      <c r="AQ481" t="s">
        <v>74</v>
      </c>
      <c r="AR481" t="s">
        <v>2444</v>
      </c>
      <c r="AS481" t="s">
        <v>2445</v>
      </c>
      <c r="AT481" t="s">
        <v>6858</v>
      </c>
      <c r="AU481">
        <v>2007</v>
      </c>
      <c r="AV481">
        <v>30</v>
      </c>
      <c r="AW481">
        <v>6</v>
      </c>
      <c r="AX481" t="s">
        <v>74</v>
      </c>
      <c r="AY481" t="s">
        <v>74</v>
      </c>
      <c r="AZ481" t="s">
        <v>74</v>
      </c>
      <c r="BA481" t="s">
        <v>74</v>
      </c>
      <c r="BB481">
        <v>731</v>
      </c>
      <c r="BC481">
        <v>734</v>
      </c>
      <c r="BD481" t="s">
        <v>74</v>
      </c>
      <c r="BE481" t="s">
        <v>7873</v>
      </c>
      <c r="BF481" t="str">
        <f>HYPERLINK("http://dx.doi.org/10.1007/s00300-006-0230-6","http://dx.doi.org/10.1007/s00300-006-0230-6")</f>
        <v>http://dx.doi.org/10.1007/s00300-006-0230-6</v>
      </c>
      <c r="BG481" t="s">
        <v>74</v>
      </c>
      <c r="BH481" t="s">
        <v>74</v>
      </c>
      <c r="BI481">
        <v>4</v>
      </c>
      <c r="BJ481" t="s">
        <v>97</v>
      </c>
      <c r="BK481" t="s">
        <v>98</v>
      </c>
      <c r="BL481" t="s">
        <v>99</v>
      </c>
      <c r="BM481" t="s">
        <v>7850</v>
      </c>
      <c r="BN481" t="s">
        <v>74</v>
      </c>
      <c r="BO481" t="s">
        <v>74</v>
      </c>
      <c r="BP481" t="s">
        <v>74</v>
      </c>
      <c r="BQ481" t="s">
        <v>74</v>
      </c>
      <c r="BR481" t="s">
        <v>101</v>
      </c>
      <c r="BS481" t="s">
        <v>7874</v>
      </c>
      <c r="BT481" t="str">
        <f>HYPERLINK("https%3A%2F%2Fwww.webofscience.com%2Fwos%2Fwoscc%2Ffull-record%2FWOS:000246100200007","View Full Record in Web of Science")</f>
        <v>View Full Record in Web of Science</v>
      </c>
    </row>
    <row r="482" spans="1:72" x14ac:dyDescent="0.15">
      <c r="A482" t="s">
        <v>72</v>
      </c>
      <c r="B482" t="s">
        <v>7875</v>
      </c>
      <c r="C482" t="s">
        <v>74</v>
      </c>
      <c r="D482" t="s">
        <v>74</v>
      </c>
      <c r="E482" t="s">
        <v>74</v>
      </c>
      <c r="F482" t="s">
        <v>7876</v>
      </c>
      <c r="G482" t="s">
        <v>74</v>
      </c>
      <c r="H482" t="s">
        <v>74</v>
      </c>
      <c r="I482" t="s">
        <v>7877</v>
      </c>
      <c r="J482" t="s">
        <v>2434</v>
      </c>
      <c r="K482" t="s">
        <v>74</v>
      </c>
      <c r="L482" t="s">
        <v>74</v>
      </c>
      <c r="M482" t="s">
        <v>78</v>
      </c>
      <c r="N482" t="s">
        <v>79</v>
      </c>
      <c r="O482" t="s">
        <v>74</v>
      </c>
      <c r="P482" t="s">
        <v>74</v>
      </c>
      <c r="Q482" t="s">
        <v>74</v>
      </c>
      <c r="R482" t="s">
        <v>74</v>
      </c>
      <c r="S482" t="s">
        <v>74</v>
      </c>
      <c r="T482" t="s">
        <v>7878</v>
      </c>
      <c r="U482" t="s">
        <v>7879</v>
      </c>
      <c r="V482" t="s">
        <v>7880</v>
      </c>
      <c r="W482" t="s">
        <v>4766</v>
      </c>
      <c r="X482" t="s">
        <v>1988</v>
      </c>
      <c r="Y482" t="s">
        <v>7881</v>
      </c>
      <c r="Z482" t="s">
        <v>7882</v>
      </c>
      <c r="AA482" t="s">
        <v>7883</v>
      </c>
      <c r="AB482" t="s">
        <v>7884</v>
      </c>
      <c r="AC482" t="s">
        <v>4205</v>
      </c>
      <c r="AD482" t="s">
        <v>361</v>
      </c>
      <c r="AE482" t="s">
        <v>74</v>
      </c>
      <c r="AF482" t="s">
        <v>74</v>
      </c>
      <c r="AG482">
        <v>51</v>
      </c>
      <c r="AH482">
        <v>34</v>
      </c>
      <c r="AI482">
        <v>37</v>
      </c>
      <c r="AJ482">
        <v>0</v>
      </c>
      <c r="AK482">
        <v>17</v>
      </c>
      <c r="AL482" t="s">
        <v>1592</v>
      </c>
      <c r="AM482" t="s">
        <v>1593</v>
      </c>
      <c r="AN482" t="s">
        <v>2406</v>
      </c>
      <c r="AO482" t="s">
        <v>2442</v>
      </c>
      <c r="AP482" t="s">
        <v>2443</v>
      </c>
      <c r="AQ482" t="s">
        <v>74</v>
      </c>
      <c r="AR482" t="s">
        <v>2444</v>
      </c>
      <c r="AS482" t="s">
        <v>2445</v>
      </c>
      <c r="AT482" t="s">
        <v>6858</v>
      </c>
      <c r="AU482">
        <v>2007</v>
      </c>
      <c r="AV482">
        <v>30</v>
      </c>
      <c r="AW482">
        <v>6</v>
      </c>
      <c r="AX482" t="s">
        <v>74</v>
      </c>
      <c r="AY482" t="s">
        <v>74</v>
      </c>
      <c r="AZ482" t="s">
        <v>74</v>
      </c>
      <c r="BA482" t="s">
        <v>74</v>
      </c>
      <c r="BB482">
        <v>769</v>
      </c>
      <c r="BC482">
        <v>779</v>
      </c>
      <c r="BD482" t="s">
        <v>74</v>
      </c>
      <c r="BE482" t="s">
        <v>7885</v>
      </c>
      <c r="BF482" t="str">
        <f>HYPERLINK("http://dx.doi.org/10.1007/s00300-006-0236-0","http://dx.doi.org/10.1007/s00300-006-0236-0")</f>
        <v>http://dx.doi.org/10.1007/s00300-006-0236-0</v>
      </c>
      <c r="BG482" t="s">
        <v>74</v>
      </c>
      <c r="BH482" t="s">
        <v>74</v>
      </c>
      <c r="BI482">
        <v>11</v>
      </c>
      <c r="BJ482" t="s">
        <v>97</v>
      </c>
      <c r="BK482" t="s">
        <v>98</v>
      </c>
      <c r="BL482" t="s">
        <v>99</v>
      </c>
      <c r="BM482" t="s">
        <v>7850</v>
      </c>
      <c r="BN482" t="s">
        <v>74</v>
      </c>
      <c r="BO482" t="s">
        <v>74</v>
      </c>
      <c r="BP482" t="s">
        <v>74</v>
      </c>
      <c r="BQ482" t="s">
        <v>74</v>
      </c>
      <c r="BR482" t="s">
        <v>101</v>
      </c>
      <c r="BS482" t="s">
        <v>7886</v>
      </c>
      <c r="BT482" t="str">
        <f>HYPERLINK("https%3A%2F%2Fwww.webofscience.com%2Fwos%2Fwoscc%2Ffull-record%2FWOS:000246100200011","View Full Record in Web of Science")</f>
        <v>View Full Record in Web of Science</v>
      </c>
    </row>
    <row r="483" spans="1:72" x14ac:dyDescent="0.15">
      <c r="A483" t="s">
        <v>72</v>
      </c>
      <c r="B483" t="s">
        <v>7887</v>
      </c>
      <c r="C483" t="s">
        <v>74</v>
      </c>
      <c r="D483" t="s">
        <v>74</v>
      </c>
      <c r="E483" t="s">
        <v>74</v>
      </c>
      <c r="F483" t="s">
        <v>7888</v>
      </c>
      <c r="G483" t="s">
        <v>74</v>
      </c>
      <c r="H483" t="s">
        <v>74</v>
      </c>
      <c r="I483" t="s">
        <v>7889</v>
      </c>
      <c r="J483" t="s">
        <v>2434</v>
      </c>
      <c r="K483" t="s">
        <v>74</v>
      </c>
      <c r="L483" t="s">
        <v>74</v>
      </c>
      <c r="M483" t="s">
        <v>78</v>
      </c>
      <c r="N483" t="s">
        <v>79</v>
      </c>
      <c r="O483" t="s">
        <v>74</v>
      </c>
      <c r="P483" t="s">
        <v>74</v>
      </c>
      <c r="Q483" t="s">
        <v>74</v>
      </c>
      <c r="R483" t="s">
        <v>74</v>
      </c>
      <c r="S483" t="s">
        <v>74</v>
      </c>
      <c r="T483" t="s">
        <v>7890</v>
      </c>
      <c r="U483" t="s">
        <v>7891</v>
      </c>
      <c r="V483" t="s">
        <v>7892</v>
      </c>
      <c r="W483" t="s">
        <v>7893</v>
      </c>
      <c r="X483" t="s">
        <v>7894</v>
      </c>
      <c r="Y483" t="s">
        <v>7895</v>
      </c>
      <c r="Z483" t="s">
        <v>7896</v>
      </c>
      <c r="AA483" t="s">
        <v>7897</v>
      </c>
      <c r="AB483" t="s">
        <v>7898</v>
      </c>
      <c r="AC483" t="s">
        <v>74</v>
      </c>
      <c r="AD483" t="s">
        <v>74</v>
      </c>
      <c r="AE483" t="s">
        <v>74</v>
      </c>
      <c r="AF483" t="s">
        <v>74</v>
      </c>
      <c r="AG483">
        <v>33</v>
      </c>
      <c r="AH483">
        <v>20</v>
      </c>
      <c r="AI483">
        <v>20</v>
      </c>
      <c r="AJ483">
        <v>1</v>
      </c>
      <c r="AK483">
        <v>13</v>
      </c>
      <c r="AL483" t="s">
        <v>1592</v>
      </c>
      <c r="AM483" t="s">
        <v>1593</v>
      </c>
      <c r="AN483" t="s">
        <v>1594</v>
      </c>
      <c r="AO483" t="s">
        <v>2442</v>
      </c>
      <c r="AP483" t="s">
        <v>2443</v>
      </c>
      <c r="AQ483" t="s">
        <v>74</v>
      </c>
      <c r="AR483" t="s">
        <v>2444</v>
      </c>
      <c r="AS483" t="s">
        <v>2445</v>
      </c>
      <c r="AT483" t="s">
        <v>6858</v>
      </c>
      <c r="AU483">
        <v>2007</v>
      </c>
      <c r="AV483">
        <v>30</v>
      </c>
      <c r="AW483">
        <v>6</v>
      </c>
      <c r="AX483" t="s">
        <v>74</v>
      </c>
      <c r="AY483" t="s">
        <v>74</v>
      </c>
      <c r="AZ483" t="s">
        <v>74</v>
      </c>
      <c r="BA483" t="s">
        <v>74</v>
      </c>
      <c r="BB483">
        <v>781</v>
      </c>
      <c r="BC483">
        <v>788</v>
      </c>
      <c r="BD483" t="s">
        <v>74</v>
      </c>
      <c r="BE483" t="s">
        <v>7899</v>
      </c>
      <c r="BF483" t="str">
        <f>HYPERLINK("http://dx.doi.org/10.1007/s00300-006-0237-z","http://dx.doi.org/10.1007/s00300-006-0237-z")</f>
        <v>http://dx.doi.org/10.1007/s00300-006-0237-z</v>
      </c>
      <c r="BG483" t="s">
        <v>74</v>
      </c>
      <c r="BH483" t="s">
        <v>74</v>
      </c>
      <c r="BI483">
        <v>8</v>
      </c>
      <c r="BJ483" t="s">
        <v>97</v>
      </c>
      <c r="BK483" t="s">
        <v>98</v>
      </c>
      <c r="BL483" t="s">
        <v>99</v>
      </c>
      <c r="BM483" t="s">
        <v>7850</v>
      </c>
      <c r="BN483" t="s">
        <v>74</v>
      </c>
      <c r="BO483" t="s">
        <v>74</v>
      </c>
      <c r="BP483" t="s">
        <v>74</v>
      </c>
      <c r="BQ483" t="s">
        <v>74</v>
      </c>
      <c r="BR483" t="s">
        <v>101</v>
      </c>
      <c r="BS483" t="s">
        <v>7900</v>
      </c>
      <c r="BT483" t="str">
        <f>HYPERLINK("https%3A%2F%2Fwww.webofscience.com%2Fwos%2Fwoscc%2Ffull-record%2FWOS:000246100200012","View Full Record in Web of Science")</f>
        <v>View Full Record in Web of Science</v>
      </c>
    </row>
    <row r="484" spans="1:72" x14ac:dyDescent="0.15">
      <c r="A484" t="s">
        <v>72</v>
      </c>
      <c r="B484" t="s">
        <v>7901</v>
      </c>
      <c r="C484" t="s">
        <v>74</v>
      </c>
      <c r="D484" t="s">
        <v>74</v>
      </c>
      <c r="E484" t="s">
        <v>74</v>
      </c>
      <c r="F484" t="s">
        <v>7902</v>
      </c>
      <c r="G484" t="s">
        <v>74</v>
      </c>
      <c r="H484" t="s">
        <v>74</v>
      </c>
      <c r="I484" t="s">
        <v>7903</v>
      </c>
      <c r="J484" t="s">
        <v>2434</v>
      </c>
      <c r="K484" t="s">
        <v>74</v>
      </c>
      <c r="L484" t="s">
        <v>74</v>
      </c>
      <c r="M484" t="s">
        <v>78</v>
      </c>
      <c r="N484" t="s">
        <v>79</v>
      </c>
      <c r="O484" t="s">
        <v>74</v>
      </c>
      <c r="P484" t="s">
        <v>74</v>
      </c>
      <c r="Q484" t="s">
        <v>74</v>
      </c>
      <c r="R484" t="s">
        <v>74</v>
      </c>
      <c r="S484" t="s">
        <v>74</v>
      </c>
      <c r="T484" t="s">
        <v>7904</v>
      </c>
      <c r="U484" t="s">
        <v>7905</v>
      </c>
      <c r="V484" t="s">
        <v>7906</v>
      </c>
      <c r="W484" t="s">
        <v>7907</v>
      </c>
      <c r="X484" t="s">
        <v>7908</v>
      </c>
      <c r="Y484" t="s">
        <v>7909</v>
      </c>
      <c r="Z484" t="s">
        <v>7910</v>
      </c>
      <c r="AA484" t="s">
        <v>74</v>
      </c>
      <c r="AB484" t="s">
        <v>74</v>
      </c>
      <c r="AC484" t="s">
        <v>74</v>
      </c>
      <c r="AD484" t="s">
        <v>74</v>
      </c>
      <c r="AE484" t="s">
        <v>74</v>
      </c>
      <c r="AF484" t="s">
        <v>74</v>
      </c>
      <c r="AG484">
        <v>47</v>
      </c>
      <c r="AH484">
        <v>1</v>
      </c>
      <c r="AI484">
        <v>1</v>
      </c>
      <c r="AJ484">
        <v>0</v>
      </c>
      <c r="AK484">
        <v>7</v>
      </c>
      <c r="AL484" t="s">
        <v>1592</v>
      </c>
      <c r="AM484" t="s">
        <v>1593</v>
      </c>
      <c r="AN484" t="s">
        <v>2512</v>
      </c>
      <c r="AO484" t="s">
        <v>2442</v>
      </c>
      <c r="AP484" t="s">
        <v>74</v>
      </c>
      <c r="AQ484" t="s">
        <v>74</v>
      </c>
      <c r="AR484" t="s">
        <v>2444</v>
      </c>
      <c r="AS484" t="s">
        <v>2445</v>
      </c>
      <c r="AT484" t="s">
        <v>6858</v>
      </c>
      <c r="AU484">
        <v>2007</v>
      </c>
      <c r="AV484">
        <v>30</v>
      </c>
      <c r="AW484">
        <v>6</v>
      </c>
      <c r="AX484" t="s">
        <v>74</v>
      </c>
      <c r="AY484" t="s">
        <v>74</v>
      </c>
      <c r="AZ484" t="s">
        <v>74</v>
      </c>
      <c r="BA484" t="s">
        <v>74</v>
      </c>
      <c r="BB484">
        <v>797</v>
      </c>
      <c r="BC484">
        <v>807</v>
      </c>
      <c r="BD484" t="s">
        <v>74</v>
      </c>
      <c r="BE484" t="s">
        <v>7911</v>
      </c>
      <c r="BF484" t="str">
        <f>HYPERLINK("http://dx.doi.org/10.1007/s00300-006-0239-x","http://dx.doi.org/10.1007/s00300-006-0239-x")</f>
        <v>http://dx.doi.org/10.1007/s00300-006-0239-x</v>
      </c>
      <c r="BG484" t="s">
        <v>74</v>
      </c>
      <c r="BH484" t="s">
        <v>74</v>
      </c>
      <c r="BI484">
        <v>11</v>
      </c>
      <c r="BJ484" t="s">
        <v>97</v>
      </c>
      <c r="BK484" t="s">
        <v>98</v>
      </c>
      <c r="BL484" t="s">
        <v>99</v>
      </c>
      <c r="BM484" t="s">
        <v>7850</v>
      </c>
      <c r="BN484" t="s">
        <v>74</v>
      </c>
      <c r="BO484" t="s">
        <v>74</v>
      </c>
      <c r="BP484" t="s">
        <v>74</v>
      </c>
      <c r="BQ484" t="s">
        <v>74</v>
      </c>
      <c r="BR484" t="s">
        <v>101</v>
      </c>
      <c r="BS484" t="s">
        <v>7912</v>
      </c>
      <c r="BT484" t="str">
        <f>HYPERLINK("https%3A%2F%2Fwww.webofscience.com%2Fwos%2Fwoscc%2Ffull-record%2FWOS:000246100200014","View Full Record in Web of Science")</f>
        <v>View Full Record in Web of Science</v>
      </c>
    </row>
    <row r="485" spans="1:72" x14ac:dyDescent="0.15">
      <c r="A485" t="s">
        <v>72</v>
      </c>
      <c r="B485" t="s">
        <v>7913</v>
      </c>
      <c r="C485" t="s">
        <v>74</v>
      </c>
      <c r="D485" t="s">
        <v>74</v>
      </c>
      <c r="E485" t="s">
        <v>74</v>
      </c>
      <c r="F485" t="s">
        <v>7914</v>
      </c>
      <c r="G485" t="s">
        <v>74</v>
      </c>
      <c r="H485" t="s">
        <v>74</v>
      </c>
      <c r="I485" t="s">
        <v>7915</v>
      </c>
      <c r="J485" t="s">
        <v>7916</v>
      </c>
      <c r="K485" t="s">
        <v>74</v>
      </c>
      <c r="L485" t="s">
        <v>74</v>
      </c>
      <c r="M485" t="s">
        <v>78</v>
      </c>
      <c r="N485" t="s">
        <v>79</v>
      </c>
      <c r="O485" t="s">
        <v>74</v>
      </c>
      <c r="P485" t="s">
        <v>74</v>
      </c>
      <c r="Q485" t="s">
        <v>74</v>
      </c>
      <c r="R485" t="s">
        <v>74</v>
      </c>
      <c r="S485" t="s">
        <v>74</v>
      </c>
      <c r="T485" t="s">
        <v>74</v>
      </c>
      <c r="U485" t="s">
        <v>7917</v>
      </c>
      <c r="V485" t="s">
        <v>7918</v>
      </c>
      <c r="W485" t="s">
        <v>7919</v>
      </c>
      <c r="X485" t="s">
        <v>7920</v>
      </c>
      <c r="Y485" t="s">
        <v>7921</v>
      </c>
      <c r="Z485" t="s">
        <v>7922</v>
      </c>
      <c r="AA485" t="s">
        <v>7923</v>
      </c>
      <c r="AB485" t="s">
        <v>7924</v>
      </c>
      <c r="AC485" t="s">
        <v>74</v>
      </c>
      <c r="AD485" t="s">
        <v>74</v>
      </c>
      <c r="AE485" t="s">
        <v>74</v>
      </c>
      <c r="AF485" t="s">
        <v>74</v>
      </c>
      <c r="AG485">
        <v>60</v>
      </c>
      <c r="AH485">
        <v>10</v>
      </c>
      <c r="AI485">
        <v>10</v>
      </c>
      <c r="AJ485">
        <v>0</v>
      </c>
      <c r="AK485">
        <v>4</v>
      </c>
      <c r="AL485" t="s">
        <v>7925</v>
      </c>
      <c r="AM485" t="s">
        <v>7926</v>
      </c>
      <c r="AN485" t="s">
        <v>7927</v>
      </c>
      <c r="AO485" t="s">
        <v>74</v>
      </c>
      <c r="AP485" t="s">
        <v>7928</v>
      </c>
      <c r="AQ485" t="s">
        <v>74</v>
      </c>
      <c r="AR485" t="s">
        <v>7929</v>
      </c>
      <c r="AS485" t="s">
        <v>7930</v>
      </c>
      <c r="AT485" t="s">
        <v>6858</v>
      </c>
      <c r="AU485">
        <v>2007</v>
      </c>
      <c r="AV485">
        <v>59</v>
      </c>
      <c r="AW485">
        <v>3</v>
      </c>
      <c r="AX485" t="s">
        <v>74</v>
      </c>
      <c r="AY485" t="s">
        <v>74</v>
      </c>
      <c r="AZ485" t="s">
        <v>74</v>
      </c>
      <c r="BA485" t="s">
        <v>74</v>
      </c>
      <c r="BB485">
        <v>367</v>
      </c>
      <c r="BC485">
        <v>383</v>
      </c>
      <c r="BD485" t="s">
        <v>74</v>
      </c>
      <c r="BE485" t="s">
        <v>7931</v>
      </c>
      <c r="BF485" t="str">
        <f>HYPERLINK("http://dx.doi.org/10.1111/j.1600-0870.2007.00227.x","http://dx.doi.org/10.1111/j.1600-0870.2007.00227.x")</f>
        <v>http://dx.doi.org/10.1111/j.1600-0870.2007.00227.x</v>
      </c>
      <c r="BG485" t="s">
        <v>74</v>
      </c>
      <c r="BH485" t="s">
        <v>74</v>
      </c>
      <c r="BI485">
        <v>17</v>
      </c>
      <c r="BJ485" t="s">
        <v>1938</v>
      </c>
      <c r="BK485" t="s">
        <v>98</v>
      </c>
      <c r="BL485" t="s">
        <v>1938</v>
      </c>
      <c r="BM485" t="s">
        <v>7932</v>
      </c>
      <c r="BN485" t="s">
        <v>74</v>
      </c>
      <c r="BO485" t="s">
        <v>577</v>
      </c>
      <c r="BP485" t="s">
        <v>74</v>
      </c>
      <c r="BQ485" t="s">
        <v>74</v>
      </c>
      <c r="BR485" t="s">
        <v>101</v>
      </c>
      <c r="BS485" t="s">
        <v>7933</v>
      </c>
      <c r="BT485" t="str">
        <f>HYPERLINK("https%3A%2F%2Fwww.webofscience.com%2Fwos%2Fwoscc%2Ffull-record%2FWOS:000245697500008","View Full Record in Web of Science")</f>
        <v>View Full Record in Web of Science</v>
      </c>
    </row>
    <row r="486" spans="1:72" x14ac:dyDescent="0.15">
      <c r="A486" t="s">
        <v>72</v>
      </c>
      <c r="B486" t="s">
        <v>7934</v>
      </c>
      <c r="C486" t="s">
        <v>74</v>
      </c>
      <c r="D486" t="s">
        <v>74</v>
      </c>
      <c r="E486" t="s">
        <v>74</v>
      </c>
      <c r="F486" t="s">
        <v>7935</v>
      </c>
      <c r="G486" t="s">
        <v>74</v>
      </c>
      <c r="H486" t="s">
        <v>74</v>
      </c>
      <c r="I486" t="s">
        <v>7936</v>
      </c>
      <c r="J486" t="s">
        <v>7937</v>
      </c>
      <c r="K486" t="s">
        <v>74</v>
      </c>
      <c r="L486" t="s">
        <v>74</v>
      </c>
      <c r="M486" t="s">
        <v>78</v>
      </c>
      <c r="N486" t="s">
        <v>79</v>
      </c>
      <c r="O486" t="s">
        <v>74</v>
      </c>
      <c r="P486" t="s">
        <v>74</v>
      </c>
      <c r="Q486" t="s">
        <v>74</v>
      </c>
      <c r="R486" t="s">
        <v>74</v>
      </c>
      <c r="S486" t="s">
        <v>74</v>
      </c>
      <c r="T486" t="s">
        <v>74</v>
      </c>
      <c r="U486" t="s">
        <v>7938</v>
      </c>
      <c r="V486" t="s">
        <v>7939</v>
      </c>
      <c r="W486" t="s">
        <v>7940</v>
      </c>
      <c r="X486" t="s">
        <v>7941</v>
      </c>
      <c r="Y486" t="s">
        <v>7942</v>
      </c>
      <c r="Z486" t="s">
        <v>7943</v>
      </c>
      <c r="AA486" t="s">
        <v>7944</v>
      </c>
      <c r="AB486" t="s">
        <v>7945</v>
      </c>
      <c r="AC486" t="s">
        <v>74</v>
      </c>
      <c r="AD486" t="s">
        <v>74</v>
      </c>
      <c r="AE486" t="s">
        <v>74</v>
      </c>
      <c r="AF486" t="s">
        <v>74</v>
      </c>
      <c r="AG486">
        <v>53</v>
      </c>
      <c r="AH486">
        <v>28</v>
      </c>
      <c r="AI486">
        <v>36</v>
      </c>
      <c r="AJ486">
        <v>1</v>
      </c>
      <c r="AK486">
        <v>8</v>
      </c>
      <c r="AL486" t="s">
        <v>1202</v>
      </c>
      <c r="AM486" t="s">
        <v>1203</v>
      </c>
      <c r="AN486" t="s">
        <v>1204</v>
      </c>
      <c r="AO486" t="s">
        <v>7946</v>
      </c>
      <c r="AP486" t="s">
        <v>7947</v>
      </c>
      <c r="AQ486" t="s">
        <v>74</v>
      </c>
      <c r="AR486" t="s">
        <v>7948</v>
      </c>
      <c r="AS486" t="s">
        <v>7949</v>
      </c>
      <c r="AT486" t="s">
        <v>6858</v>
      </c>
      <c r="AU486">
        <v>2007</v>
      </c>
      <c r="AV486">
        <v>36</v>
      </c>
      <c r="AW486">
        <v>3</v>
      </c>
      <c r="AX486" t="s">
        <v>74</v>
      </c>
      <c r="AY486" t="s">
        <v>74</v>
      </c>
      <c r="AZ486" t="s">
        <v>74</v>
      </c>
      <c r="BA486" t="s">
        <v>74</v>
      </c>
      <c r="BB486">
        <v>271</v>
      </c>
      <c r="BC486">
        <v>280</v>
      </c>
      <c r="BD486" t="s">
        <v>74</v>
      </c>
      <c r="BE486" t="s">
        <v>7950</v>
      </c>
      <c r="BF486" t="str">
        <f>HYPERLINK("http://dx.doi.org/10.1111/j.1463-6409.2007.00279.x","http://dx.doi.org/10.1111/j.1463-6409.2007.00279.x")</f>
        <v>http://dx.doi.org/10.1111/j.1463-6409.2007.00279.x</v>
      </c>
      <c r="BG486" t="s">
        <v>74</v>
      </c>
      <c r="BH486" t="s">
        <v>74</v>
      </c>
      <c r="BI486">
        <v>10</v>
      </c>
      <c r="BJ486" t="s">
        <v>7951</v>
      </c>
      <c r="BK486" t="s">
        <v>98</v>
      </c>
      <c r="BL486" t="s">
        <v>7951</v>
      </c>
      <c r="BM486" t="s">
        <v>7952</v>
      </c>
      <c r="BN486" t="s">
        <v>74</v>
      </c>
      <c r="BO486" t="s">
        <v>74</v>
      </c>
      <c r="BP486" t="s">
        <v>74</v>
      </c>
      <c r="BQ486" t="s">
        <v>74</v>
      </c>
      <c r="BR486" t="s">
        <v>101</v>
      </c>
      <c r="BS486" t="s">
        <v>7953</v>
      </c>
      <c r="BT486" t="str">
        <f>HYPERLINK("https%3A%2F%2Fwww.webofscience.com%2Fwos%2Fwoscc%2Ffull-record%2FWOS:000245676600005","View Full Record in Web of Science")</f>
        <v>View Full Record in Web of Science</v>
      </c>
    </row>
    <row r="487" spans="1:72" x14ac:dyDescent="0.15">
      <c r="A487" t="s">
        <v>72</v>
      </c>
      <c r="B487" t="s">
        <v>7954</v>
      </c>
      <c r="C487" t="s">
        <v>74</v>
      </c>
      <c r="D487" t="s">
        <v>74</v>
      </c>
      <c r="E487" t="s">
        <v>74</v>
      </c>
      <c r="F487" t="s">
        <v>7955</v>
      </c>
      <c r="G487" t="s">
        <v>74</v>
      </c>
      <c r="H487" t="s">
        <v>74</v>
      </c>
      <c r="I487" t="s">
        <v>7956</v>
      </c>
      <c r="J487" t="s">
        <v>7957</v>
      </c>
      <c r="K487" t="s">
        <v>74</v>
      </c>
      <c r="L487" t="s">
        <v>74</v>
      </c>
      <c r="M487" t="s">
        <v>78</v>
      </c>
      <c r="N487" t="s">
        <v>79</v>
      </c>
      <c r="O487" t="s">
        <v>74</v>
      </c>
      <c r="P487" t="s">
        <v>74</v>
      </c>
      <c r="Q487" t="s">
        <v>74</v>
      </c>
      <c r="R487" t="s">
        <v>74</v>
      </c>
      <c r="S487" t="s">
        <v>74</v>
      </c>
      <c r="T487" t="s">
        <v>7958</v>
      </c>
      <c r="U487" t="s">
        <v>7959</v>
      </c>
      <c r="V487" t="s">
        <v>7960</v>
      </c>
      <c r="W487" t="s">
        <v>7961</v>
      </c>
      <c r="X487" t="s">
        <v>7962</v>
      </c>
      <c r="Y487" t="s">
        <v>7963</v>
      </c>
      <c r="Z487" t="s">
        <v>7964</v>
      </c>
      <c r="AA487" t="s">
        <v>7965</v>
      </c>
      <c r="AB487" t="s">
        <v>7966</v>
      </c>
      <c r="AC487" t="s">
        <v>74</v>
      </c>
      <c r="AD487" t="s">
        <v>74</v>
      </c>
      <c r="AE487" t="s">
        <v>74</v>
      </c>
      <c r="AF487" t="s">
        <v>74</v>
      </c>
      <c r="AG487">
        <v>25</v>
      </c>
      <c r="AH487">
        <v>6</v>
      </c>
      <c r="AI487">
        <v>6</v>
      </c>
      <c r="AJ487">
        <v>0</v>
      </c>
      <c r="AK487">
        <v>2</v>
      </c>
      <c r="AL487" t="s">
        <v>4219</v>
      </c>
      <c r="AM487" t="s">
        <v>1593</v>
      </c>
      <c r="AN487" t="s">
        <v>4220</v>
      </c>
      <c r="AO487" t="s">
        <v>7967</v>
      </c>
      <c r="AP487" t="s">
        <v>7968</v>
      </c>
      <c r="AQ487" t="s">
        <v>74</v>
      </c>
      <c r="AR487" t="s">
        <v>7957</v>
      </c>
      <c r="AS487" t="s">
        <v>7969</v>
      </c>
      <c r="AT487" t="s">
        <v>6858</v>
      </c>
      <c r="AU487">
        <v>2007</v>
      </c>
      <c r="AV487">
        <v>15</v>
      </c>
      <c r="AW487">
        <v>2</v>
      </c>
      <c r="AX487" t="s">
        <v>74</v>
      </c>
      <c r="AY487" t="s">
        <v>74</v>
      </c>
      <c r="AZ487" t="s">
        <v>74</v>
      </c>
      <c r="BA487" t="s">
        <v>74</v>
      </c>
      <c r="BB487">
        <v>103</v>
      </c>
      <c r="BC487">
        <v>108</v>
      </c>
      <c r="BD487" t="s">
        <v>74</v>
      </c>
      <c r="BE487" t="s">
        <v>7970</v>
      </c>
      <c r="BF487" t="str">
        <f>HYPERLINK("http://dx.doi.org/10.1017/S0967199406004047","http://dx.doi.org/10.1017/S0967199406004047")</f>
        <v>http://dx.doi.org/10.1017/S0967199406004047</v>
      </c>
      <c r="BG487" t="s">
        <v>74</v>
      </c>
      <c r="BH487" t="s">
        <v>74</v>
      </c>
      <c r="BI487">
        <v>6</v>
      </c>
      <c r="BJ487" t="s">
        <v>7971</v>
      </c>
      <c r="BK487" t="s">
        <v>98</v>
      </c>
      <c r="BL487" t="s">
        <v>7971</v>
      </c>
      <c r="BM487" t="s">
        <v>7972</v>
      </c>
      <c r="BN487">
        <v>17462102</v>
      </c>
      <c r="BO487" t="s">
        <v>74</v>
      </c>
      <c r="BP487" t="s">
        <v>74</v>
      </c>
      <c r="BQ487" t="s">
        <v>74</v>
      </c>
      <c r="BR487" t="s">
        <v>101</v>
      </c>
      <c r="BS487" t="s">
        <v>7973</v>
      </c>
      <c r="BT487" t="str">
        <f>HYPERLINK("https%3A%2F%2Fwww.webofscience.com%2Fwos%2Fwoscc%2Ffull-record%2FWOS:000246874500002","View Full Record in Web of Science")</f>
        <v>View Full Record in Web of Science</v>
      </c>
    </row>
    <row r="488" spans="1:72" x14ac:dyDescent="0.15">
      <c r="A488" t="s">
        <v>72</v>
      </c>
      <c r="B488" t="s">
        <v>7974</v>
      </c>
      <c r="C488" t="s">
        <v>74</v>
      </c>
      <c r="D488" t="s">
        <v>74</v>
      </c>
      <c r="E488" t="s">
        <v>74</v>
      </c>
      <c r="F488" t="s">
        <v>7975</v>
      </c>
      <c r="G488" t="s">
        <v>74</v>
      </c>
      <c r="H488" t="s">
        <v>74</v>
      </c>
      <c r="I488" t="s">
        <v>7976</v>
      </c>
      <c r="J488" t="s">
        <v>694</v>
      </c>
      <c r="K488" t="s">
        <v>74</v>
      </c>
      <c r="L488" t="s">
        <v>74</v>
      </c>
      <c r="M488" t="s">
        <v>78</v>
      </c>
      <c r="N488" t="s">
        <v>79</v>
      </c>
      <c r="O488" t="s">
        <v>74</v>
      </c>
      <c r="P488" t="s">
        <v>74</v>
      </c>
      <c r="Q488" t="s">
        <v>74</v>
      </c>
      <c r="R488" t="s">
        <v>74</v>
      </c>
      <c r="S488" t="s">
        <v>74</v>
      </c>
      <c r="T488" t="s">
        <v>7977</v>
      </c>
      <c r="U488" t="s">
        <v>7978</v>
      </c>
      <c r="V488" t="s">
        <v>7979</v>
      </c>
      <c r="W488" t="s">
        <v>7980</v>
      </c>
      <c r="X488" t="s">
        <v>7981</v>
      </c>
      <c r="Y488" t="s">
        <v>7982</v>
      </c>
      <c r="Z488" t="s">
        <v>7983</v>
      </c>
      <c r="AA488" t="s">
        <v>7984</v>
      </c>
      <c r="AB488" t="s">
        <v>7985</v>
      </c>
      <c r="AC488" t="s">
        <v>74</v>
      </c>
      <c r="AD488" t="s">
        <v>74</v>
      </c>
      <c r="AE488" t="s">
        <v>74</v>
      </c>
      <c r="AF488" t="s">
        <v>74</v>
      </c>
      <c r="AG488">
        <v>40</v>
      </c>
      <c r="AH488">
        <v>15</v>
      </c>
      <c r="AI488">
        <v>21</v>
      </c>
      <c r="AJ488">
        <v>1</v>
      </c>
      <c r="AK488">
        <v>10</v>
      </c>
      <c r="AL488" t="s">
        <v>272</v>
      </c>
      <c r="AM488" t="s">
        <v>273</v>
      </c>
      <c r="AN488" t="s">
        <v>274</v>
      </c>
      <c r="AO488" t="s">
        <v>704</v>
      </c>
      <c r="AP488" t="s">
        <v>705</v>
      </c>
      <c r="AQ488" t="s">
        <v>74</v>
      </c>
      <c r="AR488" t="s">
        <v>706</v>
      </c>
      <c r="AS488" t="s">
        <v>707</v>
      </c>
      <c r="AT488" t="s">
        <v>7986</v>
      </c>
      <c r="AU488">
        <v>2007</v>
      </c>
      <c r="AV488">
        <v>256</v>
      </c>
      <c r="AW488" t="s">
        <v>686</v>
      </c>
      <c r="AX488" t="s">
        <v>74</v>
      </c>
      <c r="AY488" t="s">
        <v>74</v>
      </c>
      <c r="AZ488" t="s">
        <v>74</v>
      </c>
      <c r="BA488" t="s">
        <v>74</v>
      </c>
      <c r="BB488">
        <v>455</v>
      </c>
      <c r="BC488">
        <v>465</v>
      </c>
      <c r="BD488" t="s">
        <v>74</v>
      </c>
      <c r="BE488" t="s">
        <v>7987</v>
      </c>
      <c r="BF488" t="str">
        <f>HYPERLINK("http://dx.doi.org/10.1016/j.epsl.2007.02.001","http://dx.doi.org/10.1016/j.epsl.2007.02.001")</f>
        <v>http://dx.doi.org/10.1016/j.epsl.2007.02.001</v>
      </c>
      <c r="BG488" t="s">
        <v>74</v>
      </c>
      <c r="BH488" t="s">
        <v>74</v>
      </c>
      <c r="BI488">
        <v>11</v>
      </c>
      <c r="BJ488" t="s">
        <v>688</v>
      </c>
      <c r="BK488" t="s">
        <v>98</v>
      </c>
      <c r="BL488" t="s">
        <v>688</v>
      </c>
      <c r="BM488" t="s">
        <v>7988</v>
      </c>
      <c r="BN488" t="s">
        <v>74</v>
      </c>
      <c r="BO488" t="s">
        <v>74</v>
      </c>
      <c r="BP488" t="s">
        <v>74</v>
      </c>
      <c r="BQ488" t="s">
        <v>74</v>
      </c>
      <c r="BR488" t="s">
        <v>101</v>
      </c>
      <c r="BS488" t="s">
        <v>7989</v>
      </c>
      <c r="BT488" t="str">
        <f>HYPERLINK("https%3A%2F%2Fwww.webofscience.com%2Fwos%2Fwoscc%2Ffull-record%2FWOS:000247061300011","View Full Record in Web of Science")</f>
        <v>View Full Record in Web of Science</v>
      </c>
    </row>
    <row r="489" spans="1:72" x14ac:dyDescent="0.15">
      <c r="A489" t="s">
        <v>72</v>
      </c>
      <c r="B489" t="s">
        <v>7990</v>
      </c>
      <c r="C489" t="s">
        <v>74</v>
      </c>
      <c r="D489" t="s">
        <v>74</v>
      </c>
      <c r="E489" t="s">
        <v>74</v>
      </c>
      <c r="F489" t="s">
        <v>7991</v>
      </c>
      <c r="G489" t="s">
        <v>74</v>
      </c>
      <c r="H489" t="s">
        <v>74</v>
      </c>
      <c r="I489" t="s">
        <v>7992</v>
      </c>
      <c r="J489" t="s">
        <v>1133</v>
      </c>
      <c r="K489" t="s">
        <v>74</v>
      </c>
      <c r="L489" t="s">
        <v>74</v>
      </c>
      <c r="M489" t="s">
        <v>78</v>
      </c>
      <c r="N489" t="s">
        <v>79</v>
      </c>
      <c r="O489" t="s">
        <v>74</v>
      </c>
      <c r="P489" t="s">
        <v>74</v>
      </c>
      <c r="Q489" t="s">
        <v>74</v>
      </c>
      <c r="R489" t="s">
        <v>74</v>
      </c>
      <c r="S489" t="s">
        <v>74</v>
      </c>
      <c r="T489" t="s">
        <v>7993</v>
      </c>
      <c r="U489" t="s">
        <v>7994</v>
      </c>
      <c r="V489" t="s">
        <v>7995</v>
      </c>
      <c r="W489" t="s">
        <v>7996</v>
      </c>
      <c r="X489" t="s">
        <v>7997</v>
      </c>
      <c r="Y489" t="s">
        <v>7998</v>
      </c>
      <c r="Z489" t="s">
        <v>7999</v>
      </c>
      <c r="AA489" t="s">
        <v>74</v>
      </c>
      <c r="AB489" t="s">
        <v>74</v>
      </c>
      <c r="AC489" t="s">
        <v>74</v>
      </c>
      <c r="AD489" t="s">
        <v>74</v>
      </c>
      <c r="AE489" t="s">
        <v>74</v>
      </c>
      <c r="AF489" t="s">
        <v>74</v>
      </c>
      <c r="AG489">
        <v>74</v>
      </c>
      <c r="AH489">
        <v>26</v>
      </c>
      <c r="AI489">
        <v>30</v>
      </c>
      <c r="AJ489">
        <v>2</v>
      </c>
      <c r="AK489">
        <v>29</v>
      </c>
      <c r="AL489" t="s">
        <v>592</v>
      </c>
      <c r="AM489" t="s">
        <v>273</v>
      </c>
      <c r="AN489" t="s">
        <v>593</v>
      </c>
      <c r="AO489" t="s">
        <v>1144</v>
      </c>
      <c r="AP489" t="s">
        <v>74</v>
      </c>
      <c r="AQ489" t="s">
        <v>74</v>
      </c>
      <c r="AR489" t="s">
        <v>1145</v>
      </c>
      <c r="AS489" t="s">
        <v>1146</v>
      </c>
      <c r="AT489" t="s">
        <v>7986</v>
      </c>
      <c r="AU489">
        <v>2007</v>
      </c>
      <c r="AV489">
        <v>247</v>
      </c>
      <c r="AW489" t="s">
        <v>686</v>
      </c>
      <c r="AX489" t="s">
        <v>74</v>
      </c>
      <c r="AY489" t="s">
        <v>74</v>
      </c>
      <c r="AZ489" t="s">
        <v>74</v>
      </c>
      <c r="BA489" t="s">
        <v>74</v>
      </c>
      <c r="BB489">
        <v>382</v>
      </c>
      <c r="BC489">
        <v>401</v>
      </c>
      <c r="BD489" t="s">
        <v>74</v>
      </c>
      <c r="BE489" t="s">
        <v>8000</v>
      </c>
      <c r="BF489" t="str">
        <f>HYPERLINK("http://dx.doi.org/10.1016/j.palaeo.2006.11.002","http://dx.doi.org/10.1016/j.palaeo.2006.11.002")</f>
        <v>http://dx.doi.org/10.1016/j.palaeo.2006.11.002</v>
      </c>
      <c r="BG489" t="s">
        <v>74</v>
      </c>
      <c r="BH489" t="s">
        <v>74</v>
      </c>
      <c r="BI489">
        <v>20</v>
      </c>
      <c r="BJ489" t="s">
        <v>1148</v>
      </c>
      <c r="BK489" t="s">
        <v>98</v>
      </c>
      <c r="BL489" t="s">
        <v>1149</v>
      </c>
      <c r="BM489" t="s">
        <v>8001</v>
      </c>
      <c r="BN489" t="s">
        <v>74</v>
      </c>
      <c r="BO489" t="s">
        <v>74</v>
      </c>
      <c r="BP489" t="s">
        <v>74</v>
      </c>
      <c r="BQ489" t="s">
        <v>74</v>
      </c>
      <c r="BR489" t="s">
        <v>101</v>
      </c>
      <c r="BS489" t="s">
        <v>8002</v>
      </c>
      <c r="BT489" t="str">
        <f>HYPERLINK("https%3A%2F%2Fwww.webofscience.com%2Fwos%2Fwoscc%2Ffull-record%2FWOS:000246167300011","View Full Record in Web of Science")</f>
        <v>View Full Record in Web of Science</v>
      </c>
    </row>
    <row r="490" spans="1:72" x14ac:dyDescent="0.15">
      <c r="A490" t="s">
        <v>72</v>
      </c>
      <c r="B490" t="s">
        <v>8003</v>
      </c>
      <c r="C490" t="s">
        <v>74</v>
      </c>
      <c r="D490" t="s">
        <v>74</v>
      </c>
      <c r="E490" t="s">
        <v>74</v>
      </c>
      <c r="F490" t="s">
        <v>8004</v>
      </c>
      <c r="G490" t="s">
        <v>74</v>
      </c>
      <c r="H490" t="s">
        <v>74</v>
      </c>
      <c r="I490" t="s">
        <v>8005</v>
      </c>
      <c r="J490" t="s">
        <v>1133</v>
      </c>
      <c r="K490" t="s">
        <v>74</v>
      </c>
      <c r="L490" t="s">
        <v>74</v>
      </c>
      <c r="M490" t="s">
        <v>78</v>
      </c>
      <c r="N490" t="s">
        <v>248</v>
      </c>
      <c r="O490" t="s">
        <v>74</v>
      </c>
      <c r="P490" t="s">
        <v>74</v>
      </c>
      <c r="Q490" t="s">
        <v>74</v>
      </c>
      <c r="R490" t="s">
        <v>74</v>
      </c>
      <c r="S490" t="s">
        <v>74</v>
      </c>
      <c r="T490" t="s">
        <v>8006</v>
      </c>
      <c r="U490" t="s">
        <v>8007</v>
      </c>
      <c r="V490" t="s">
        <v>8008</v>
      </c>
      <c r="W490" t="s">
        <v>8009</v>
      </c>
      <c r="X490" t="s">
        <v>8010</v>
      </c>
      <c r="Y490" t="s">
        <v>8011</v>
      </c>
      <c r="Z490" t="s">
        <v>8012</v>
      </c>
      <c r="AA490" t="s">
        <v>8013</v>
      </c>
      <c r="AB490" t="s">
        <v>8014</v>
      </c>
      <c r="AC490" t="s">
        <v>74</v>
      </c>
      <c r="AD490" t="s">
        <v>74</v>
      </c>
      <c r="AE490" t="s">
        <v>74</v>
      </c>
      <c r="AF490" t="s">
        <v>74</v>
      </c>
      <c r="AG490">
        <v>151</v>
      </c>
      <c r="AH490">
        <v>52</v>
      </c>
      <c r="AI490">
        <v>56</v>
      </c>
      <c r="AJ490">
        <v>0</v>
      </c>
      <c r="AK490">
        <v>19</v>
      </c>
      <c r="AL490" t="s">
        <v>272</v>
      </c>
      <c r="AM490" t="s">
        <v>273</v>
      </c>
      <c r="AN490" t="s">
        <v>274</v>
      </c>
      <c r="AO490" t="s">
        <v>1144</v>
      </c>
      <c r="AP490" t="s">
        <v>1164</v>
      </c>
      <c r="AQ490" t="s">
        <v>74</v>
      </c>
      <c r="AR490" t="s">
        <v>1145</v>
      </c>
      <c r="AS490" t="s">
        <v>1146</v>
      </c>
      <c r="AT490" t="s">
        <v>7986</v>
      </c>
      <c r="AU490">
        <v>2007</v>
      </c>
      <c r="AV490">
        <v>247</v>
      </c>
      <c r="AW490" t="s">
        <v>686</v>
      </c>
      <c r="AX490" t="s">
        <v>74</v>
      </c>
      <c r="AY490" t="s">
        <v>74</v>
      </c>
      <c r="AZ490" t="s">
        <v>74</v>
      </c>
      <c r="BA490" t="s">
        <v>74</v>
      </c>
      <c r="BB490">
        <v>402</v>
      </c>
      <c r="BC490">
        <v>420</v>
      </c>
      <c r="BD490" t="s">
        <v>74</v>
      </c>
      <c r="BE490" t="s">
        <v>8015</v>
      </c>
      <c r="BF490" t="str">
        <f>HYPERLINK("http://dx.doi.org/10.1016/j.palaeo.2006.11.003","http://dx.doi.org/10.1016/j.palaeo.2006.11.003")</f>
        <v>http://dx.doi.org/10.1016/j.palaeo.2006.11.003</v>
      </c>
      <c r="BG490" t="s">
        <v>74</v>
      </c>
      <c r="BH490" t="s">
        <v>74</v>
      </c>
      <c r="BI490">
        <v>19</v>
      </c>
      <c r="BJ490" t="s">
        <v>1148</v>
      </c>
      <c r="BK490" t="s">
        <v>98</v>
      </c>
      <c r="BL490" t="s">
        <v>1149</v>
      </c>
      <c r="BM490" t="s">
        <v>8001</v>
      </c>
      <c r="BN490" t="s">
        <v>74</v>
      </c>
      <c r="BO490" t="s">
        <v>74</v>
      </c>
      <c r="BP490" t="s">
        <v>74</v>
      </c>
      <c r="BQ490" t="s">
        <v>74</v>
      </c>
      <c r="BR490" t="s">
        <v>101</v>
      </c>
      <c r="BS490" t="s">
        <v>8016</v>
      </c>
      <c r="BT490" t="str">
        <f>HYPERLINK("https%3A%2F%2Fwww.webofscience.com%2Fwos%2Fwoscc%2Ffull-record%2FWOS:000246167300012","View Full Record in Web of Science")</f>
        <v>View Full Record in Web of Science</v>
      </c>
    </row>
    <row r="491" spans="1:72" x14ac:dyDescent="0.15">
      <c r="A491" t="s">
        <v>72</v>
      </c>
      <c r="B491" t="s">
        <v>8017</v>
      </c>
      <c r="C491" t="s">
        <v>74</v>
      </c>
      <c r="D491" t="s">
        <v>74</v>
      </c>
      <c r="E491" t="s">
        <v>74</v>
      </c>
      <c r="F491" t="s">
        <v>8018</v>
      </c>
      <c r="G491" t="s">
        <v>74</v>
      </c>
      <c r="H491" t="s">
        <v>74</v>
      </c>
      <c r="I491" t="s">
        <v>8019</v>
      </c>
      <c r="J491" t="s">
        <v>492</v>
      </c>
      <c r="K491" t="s">
        <v>74</v>
      </c>
      <c r="L491" t="s">
        <v>74</v>
      </c>
      <c r="M491" t="s">
        <v>78</v>
      </c>
      <c r="N491" t="s">
        <v>79</v>
      </c>
      <c r="O491" t="s">
        <v>74</v>
      </c>
      <c r="P491" t="s">
        <v>74</v>
      </c>
      <c r="Q491" t="s">
        <v>74</v>
      </c>
      <c r="R491" t="s">
        <v>74</v>
      </c>
      <c r="S491" t="s">
        <v>74</v>
      </c>
      <c r="T491" t="s">
        <v>8020</v>
      </c>
      <c r="U491" t="s">
        <v>8021</v>
      </c>
      <c r="V491" t="s">
        <v>8022</v>
      </c>
      <c r="W491" t="s">
        <v>8023</v>
      </c>
      <c r="X491" t="s">
        <v>8024</v>
      </c>
      <c r="Y491" t="s">
        <v>8025</v>
      </c>
      <c r="Z491" t="s">
        <v>8026</v>
      </c>
      <c r="AA491" t="s">
        <v>8027</v>
      </c>
      <c r="AB491" t="s">
        <v>74</v>
      </c>
      <c r="AC491" t="s">
        <v>74</v>
      </c>
      <c r="AD491" t="s">
        <v>74</v>
      </c>
      <c r="AE491" t="s">
        <v>74</v>
      </c>
      <c r="AF491" t="s">
        <v>74</v>
      </c>
      <c r="AG491">
        <v>11</v>
      </c>
      <c r="AH491">
        <v>10</v>
      </c>
      <c r="AI491">
        <v>10</v>
      </c>
      <c r="AJ491">
        <v>0</v>
      </c>
      <c r="AK491">
        <v>0</v>
      </c>
      <c r="AL491" t="s">
        <v>500</v>
      </c>
      <c r="AM491" t="s">
        <v>501</v>
      </c>
      <c r="AN491" t="s">
        <v>502</v>
      </c>
      <c r="AO491" t="s">
        <v>503</v>
      </c>
      <c r="AP491" t="s">
        <v>504</v>
      </c>
      <c r="AQ491" t="s">
        <v>74</v>
      </c>
      <c r="AR491" t="s">
        <v>492</v>
      </c>
      <c r="AS491" t="s">
        <v>505</v>
      </c>
      <c r="AT491" t="s">
        <v>7986</v>
      </c>
      <c r="AU491">
        <v>2007</v>
      </c>
      <c r="AV491" t="s">
        <v>74</v>
      </c>
      <c r="AW491">
        <v>1463</v>
      </c>
      <c r="AX491" t="s">
        <v>74</v>
      </c>
      <c r="AY491" t="s">
        <v>74</v>
      </c>
      <c r="AZ491" t="s">
        <v>74</v>
      </c>
      <c r="BA491" t="s">
        <v>74</v>
      </c>
      <c r="BB491">
        <v>55</v>
      </c>
      <c r="BC491">
        <v>68</v>
      </c>
      <c r="BD491" t="s">
        <v>74</v>
      </c>
      <c r="BE491" t="s">
        <v>74</v>
      </c>
      <c r="BF491" t="s">
        <v>74</v>
      </c>
      <c r="BG491" t="s">
        <v>74</v>
      </c>
      <c r="BH491" t="s">
        <v>74</v>
      </c>
      <c r="BI491">
        <v>14</v>
      </c>
      <c r="BJ491" t="s">
        <v>507</v>
      </c>
      <c r="BK491" t="s">
        <v>98</v>
      </c>
      <c r="BL491" t="s">
        <v>507</v>
      </c>
      <c r="BM491" t="s">
        <v>8028</v>
      </c>
      <c r="BN491" t="s">
        <v>74</v>
      </c>
      <c r="BO491" t="s">
        <v>74</v>
      </c>
      <c r="BP491" t="s">
        <v>74</v>
      </c>
      <c r="BQ491" t="s">
        <v>74</v>
      </c>
      <c r="BR491" t="s">
        <v>101</v>
      </c>
      <c r="BS491" t="s">
        <v>8029</v>
      </c>
      <c r="BT491" t="str">
        <f>HYPERLINK("https%3A%2F%2Fwww.webofscience.com%2Fwos%2Fwoscc%2Ffull-record%2FWOS:000246024200006","View Full Record in Web of Science")</f>
        <v>View Full Record in Web of Science</v>
      </c>
    </row>
    <row r="492" spans="1:72" x14ac:dyDescent="0.15">
      <c r="A492" t="s">
        <v>72</v>
      </c>
      <c r="B492" t="s">
        <v>8030</v>
      </c>
      <c r="C492" t="s">
        <v>74</v>
      </c>
      <c r="D492" t="s">
        <v>74</v>
      </c>
      <c r="E492" t="s">
        <v>74</v>
      </c>
      <c r="F492" t="s">
        <v>8031</v>
      </c>
      <c r="G492" t="s">
        <v>74</v>
      </c>
      <c r="H492" t="s">
        <v>74</v>
      </c>
      <c r="I492" t="s">
        <v>8032</v>
      </c>
      <c r="J492" t="s">
        <v>130</v>
      </c>
      <c r="K492" t="s">
        <v>74</v>
      </c>
      <c r="L492" t="s">
        <v>74</v>
      </c>
      <c r="M492" t="s">
        <v>78</v>
      </c>
      <c r="N492" t="s">
        <v>79</v>
      </c>
      <c r="O492" t="s">
        <v>74</v>
      </c>
      <c r="P492" t="s">
        <v>74</v>
      </c>
      <c r="Q492" t="s">
        <v>74</v>
      </c>
      <c r="R492" t="s">
        <v>74</v>
      </c>
      <c r="S492" t="s">
        <v>74</v>
      </c>
      <c r="T492" t="s">
        <v>74</v>
      </c>
      <c r="U492" t="s">
        <v>3688</v>
      </c>
      <c r="V492" t="s">
        <v>8033</v>
      </c>
      <c r="W492" t="s">
        <v>8034</v>
      </c>
      <c r="X492" t="s">
        <v>2144</v>
      </c>
      <c r="Y492" t="s">
        <v>8035</v>
      </c>
      <c r="Z492" t="s">
        <v>8036</v>
      </c>
      <c r="AA492" t="s">
        <v>74</v>
      </c>
      <c r="AB492" t="s">
        <v>74</v>
      </c>
      <c r="AC492" t="s">
        <v>74</v>
      </c>
      <c r="AD492" t="s">
        <v>74</v>
      </c>
      <c r="AE492" t="s">
        <v>74</v>
      </c>
      <c r="AF492" t="s">
        <v>74</v>
      </c>
      <c r="AG492">
        <v>14</v>
      </c>
      <c r="AH492">
        <v>11</v>
      </c>
      <c r="AI492">
        <v>11</v>
      </c>
      <c r="AJ492">
        <v>0</v>
      </c>
      <c r="AK492">
        <v>13</v>
      </c>
      <c r="AL492" t="s">
        <v>141</v>
      </c>
      <c r="AM492" t="s">
        <v>142</v>
      </c>
      <c r="AN492" t="s">
        <v>143</v>
      </c>
      <c r="AO492" t="s">
        <v>144</v>
      </c>
      <c r="AP492" t="s">
        <v>145</v>
      </c>
      <c r="AQ492" t="s">
        <v>74</v>
      </c>
      <c r="AR492" t="s">
        <v>146</v>
      </c>
      <c r="AS492" t="s">
        <v>147</v>
      </c>
      <c r="AT492" t="s">
        <v>8037</v>
      </c>
      <c r="AU492">
        <v>2007</v>
      </c>
      <c r="AV492">
        <v>34</v>
      </c>
      <c r="AW492">
        <v>8</v>
      </c>
      <c r="AX492" t="s">
        <v>74</v>
      </c>
      <c r="AY492" t="s">
        <v>74</v>
      </c>
      <c r="AZ492" t="s">
        <v>74</v>
      </c>
      <c r="BA492" t="s">
        <v>74</v>
      </c>
      <c r="BB492" t="s">
        <v>74</v>
      </c>
      <c r="BC492" t="s">
        <v>74</v>
      </c>
      <c r="BD492" t="s">
        <v>8038</v>
      </c>
      <c r="BE492" t="s">
        <v>8039</v>
      </c>
      <c r="BF492" t="str">
        <f>HYPERLINK("http://dx.doi.org/10.1029/2006GL028736","http://dx.doi.org/10.1029/2006GL028736")</f>
        <v>http://dx.doi.org/10.1029/2006GL028736</v>
      </c>
      <c r="BG492" t="s">
        <v>74</v>
      </c>
      <c r="BH492" t="s">
        <v>74</v>
      </c>
      <c r="BI492">
        <v>4</v>
      </c>
      <c r="BJ492" t="s">
        <v>151</v>
      </c>
      <c r="BK492" t="s">
        <v>98</v>
      </c>
      <c r="BL492" t="s">
        <v>152</v>
      </c>
      <c r="BM492" t="s">
        <v>8040</v>
      </c>
      <c r="BN492" t="s">
        <v>74</v>
      </c>
      <c r="BO492" t="s">
        <v>154</v>
      </c>
      <c r="BP492" t="s">
        <v>74</v>
      </c>
      <c r="BQ492" t="s">
        <v>74</v>
      </c>
      <c r="BR492" t="s">
        <v>101</v>
      </c>
      <c r="BS492" t="s">
        <v>8041</v>
      </c>
      <c r="BT492" t="str">
        <f>HYPERLINK("https%3A%2F%2Fwww.webofscience.com%2Fwos%2Fwoscc%2Ffull-record%2FWOS:000246142100001","View Full Record in Web of Science")</f>
        <v>View Full Record in Web of Science</v>
      </c>
    </row>
    <row r="493" spans="1:72" x14ac:dyDescent="0.15">
      <c r="A493" t="s">
        <v>72</v>
      </c>
      <c r="B493" t="s">
        <v>8042</v>
      </c>
      <c r="C493" t="s">
        <v>74</v>
      </c>
      <c r="D493" t="s">
        <v>74</v>
      </c>
      <c r="E493" t="s">
        <v>74</v>
      </c>
      <c r="F493" t="s">
        <v>8043</v>
      </c>
      <c r="G493" t="s">
        <v>74</v>
      </c>
      <c r="H493" t="s">
        <v>74</v>
      </c>
      <c r="I493" t="s">
        <v>8044</v>
      </c>
      <c r="J493" t="s">
        <v>309</v>
      </c>
      <c r="K493" t="s">
        <v>74</v>
      </c>
      <c r="L493" t="s">
        <v>74</v>
      </c>
      <c r="M493" t="s">
        <v>78</v>
      </c>
      <c r="N493" t="s">
        <v>79</v>
      </c>
      <c r="O493" t="s">
        <v>74</v>
      </c>
      <c r="P493" t="s">
        <v>74</v>
      </c>
      <c r="Q493" t="s">
        <v>74</v>
      </c>
      <c r="R493" t="s">
        <v>74</v>
      </c>
      <c r="S493" t="s">
        <v>74</v>
      </c>
      <c r="T493" t="s">
        <v>74</v>
      </c>
      <c r="U493" t="s">
        <v>8045</v>
      </c>
      <c r="V493" t="s">
        <v>8046</v>
      </c>
      <c r="W493" t="s">
        <v>8047</v>
      </c>
      <c r="X493" t="s">
        <v>8048</v>
      </c>
      <c r="Y493" t="s">
        <v>8049</v>
      </c>
      <c r="Z493" t="s">
        <v>8050</v>
      </c>
      <c r="AA493" t="s">
        <v>8051</v>
      </c>
      <c r="AB493" t="s">
        <v>8052</v>
      </c>
      <c r="AC493" t="s">
        <v>74</v>
      </c>
      <c r="AD493" t="s">
        <v>74</v>
      </c>
      <c r="AE493" t="s">
        <v>74</v>
      </c>
      <c r="AF493" t="s">
        <v>74</v>
      </c>
      <c r="AG493">
        <v>26</v>
      </c>
      <c r="AH493">
        <v>462</v>
      </c>
      <c r="AI493">
        <v>511</v>
      </c>
      <c r="AJ493">
        <v>1</v>
      </c>
      <c r="AK493">
        <v>218</v>
      </c>
      <c r="AL493" t="s">
        <v>318</v>
      </c>
      <c r="AM493" t="s">
        <v>142</v>
      </c>
      <c r="AN493" t="s">
        <v>319</v>
      </c>
      <c r="AO493" t="s">
        <v>320</v>
      </c>
      <c r="AP493" t="s">
        <v>628</v>
      </c>
      <c r="AQ493" t="s">
        <v>74</v>
      </c>
      <c r="AR493" t="s">
        <v>309</v>
      </c>
      <c r="AS493" t="s">
        <v>321</v>
      </c>
      <c r="AT493" t="s">
        <v>8053</v>
      </c>
      <c r="AU493">
        <v>2007</v>
      </c>
      <c r="AV493">
        <v>316</v>
      </c>
      <c r="AW493">
        <v>5824</v>
      </c>
      <c r="AX493" t="s">
        <v>74</v>
      </c>
      <c r="AY493" t="s">
        <v>74</v>
      </c>
      <c r="AZ493" t="s">
        <v>74</v>
      </c>
      <c r="BA493" t="s">
        <v>74</v>
      </c>
      <c r="BB493">
        <v>567</v>
      </c>
      <c r="BC493">
        <v>570</v>
      </c>
      <c r="BD493" t="s">
        <v>74</v>
      </c>
      <c r="BE493" t="s">
        <v>8054</v>
      </c>
      <c r="BF493" t="str">
        <f>HYPERLINK("http://dx.doi.org/10.1126/science.1137959","http://dx.doi.org/10.1126/science.1137959")</f>
        <v>http://dx.doi.org/10.1126/science.1137959</v>
      </c>
      <c r="BG493" t="s">
        <v>74</v>
      </c>
      <c r="BH493" t="s">
        <v>74</v>
      </c>
      <c r="BI493">
        <v>4</v>
      </c>
      <c r="BJ493" t="s">
        <v>241</v>
      </c>
      <c r="BK493" t="s">
        <v>98</v>
      </c>
      <c r="BL493" t="s">
        <v>242</v>
      </c>
      <c r="BM493" t="s">
        <v>8055</v>
      </c>
      <c r="BN493">
        <v>17463282</v>
      </c>
      <c r="BO493" t="s">
        <v>74</v>
      </c>
      <c r="BP493" t="s">
        <v>74</v>
      </c>
      <c r="BQ493" t="s">
        <v>74</v>
      </c>
      <c r="BR493" t="s">
        <v>101</v>
      </c>
      <c r="BS493" t="s">
        <v>8056</v>
      </c>
      <c r="BT493" t="str">
        <f>HYPERLINK("https%3A%2F%2Fwww.webofscience.com%2Fwos%2Fwoscc%2Ffull-record%2FWOS:000245983100036","View Full Record in Web of Science")</f>
        <v>View Full Record in Web of Science</v>
      </c>
    </row>
    <row r="494" spans="1:72" x14ac:dyDescent="0.15">
      <c r="A494" t="s">
        <v>72</v>
      </c>
      <c r="B494" t="s">
        <v>8057</v>
      </c>
      <c r="C494" t="s">
        <v>74</v>
      </c>
      <c r="D494" t="s">
        <v>74</v>
      </c>
      <c r="E494" t="s">
        <v>74</v>
      </c>
      <c r="F494" t="s">
        <v>8058</v>
      </c>
      <c r="G494" t="s">
        <v>74</v>
      </c>
      <c r="H494" t="s">
        <v>74</v>
      </c>
      <c r="I494" t="s">
        <v>8059</v>
      </c>
      <c r="J494" t="s">
        <v>203</v>
      </c>
      <c r="K494" t="s">
        <v>74</v>
      </c>
      <c r="L494" t="s">
        <v>74</v>
      </c>
      <c r="M494" t="s">
        <v>78</v>
      </c>
      <c r="N494" t="s">
        <v>79</v>
      </c>
      <c r="O494" t="s">
        <v>74</v>
      </c>
      <c r="P494" t="s">
        <v>74</v>
      </c>
      <c r="Q494" t="s">
        <v>74</v>
      </c>
      <c r="R494" t="s">
        <v>74</v>
      </c>
      <c r="S494" t="s">
        <v>74</v>
      </c>
      <c r="T494" t="s">
        <v>74</v>
      </c>
      <c r="U494" t="s">
        <v>8060</v>
      </c>
      <c r="V494" t="s">
        <v>8061</v>
      </c>
      <c r="W494" t="s">
        <v>8062</v>
      </c>
      <c r="X494" t="s">
        <v>8063</v>
      </c>
      <c r="Y494" t="s">
        <v>8064</v>
      </c>
      <c r="Z494" t="s">
        <v>8065</v>
      </c>
      <c r="AA494" t="s">
        <v>8066</v>
      </c>
      <c r="AB494" t="s">
        <v>8067</v>
      </c>
      <c r="AC494" t="s">
        <v>74</v>
      </c>
      <c r="AD494" t="s">
        <v>74</v>
      </c>
      <c r="AE494" t="s">
        <v>74</v>
      </c>
      <c r="AF494" t="s">
        <v>74</v>
      </c>
      <c r="AG494">
        <v>66</v>
      </c>
      <c r="AH494">
        <v>39</v>
      </c>
      <c r="AI494">
        <v>42</v>
      </c>
      <c r="AJ494">
        <v>0</v>
      </c>
      <c r="AK494">
        <v>9</v>
      </c>
      <c r="AL494" t="s">
        <v>141</v>
      </c>
      <c r="AM494" t="s">
        <v>142</v>
      </c>
      <c r="AN494" t="s">
        <v>143</v>
      </c>
      <c r="AO494" t="s">
        <v>213</v>
      </c>
      <c r="AP494" t="s">
        <v>214</v>
      </c>
      <c r="AQ494" t="s">
        <v>74</v>
      </c>
      <c r="AR494" t="s">
        <v>215</v>
      </c>
      <c r="AS494" t="s">
        <v>216</v>
      </c>
      <c r="AT494" t="s">
        <v>8068</v>
      </c>
      <c r="AU494">
        <v>2007</v>
      </c>
      <c r="AV494">
        <v>112</v>
      </c>
      <c r="AW494" t="s">
        <v>8069</v>
      </c>
      <c r="AX494" t="s">
        <v>74</v>
      </c>
      <c r="AY494" t="s">
        <v>74</v>
      </c>
      <c r="AZ494" t="s">
        <v>74</v>
      </c>
      <c r="BA494" t="s">
        <v>74</v>
      </c>
      <c r="BB494" t="s">
        <v>74</v>
      </c>
      <c r="BC494" t="s">
        <v>74</v>
      </c>
      <c r="BD494" t="s">
        <v>8070</v>
      </c>
      <c r="BE494" t="s">
        <v>8071</v>
      </c>
      <c r="BF494" t="str">
        <f>HYPERLINK("http://dx.doi.org/10.1029/2006JC003916","http://dx.doi.org/10.1029/2006JC003916")</f>
        <v>http://dx.doi.org/10.1029/2006JC003916</v>
      </c>
      <c r="BG494" t="s">
        <v>74</v>
      </c>
      <c r="BH494" t="s">
        <v>74</v>
      </c>
      <c r="BI494">
        <v>25</v>
      </c>
      <c r="BJ494" t="s">
        <v>221</v>
      </c>
      <c r="BK494" t="s">
        <v>98</v>
      </c>
      <c r="BL494" t="s">
        <v>221</v>
      </c>
      <c r="BM494" t="s">
        <v>8072</v>
      </c>
      <c r="BN494" t="s">
        <v>74</v>
      </c>
      <c r="BO494" t="s">
        <v>3113</v>
      </c>
      <c r="BP494" t="s">
        <v>74</v>
      </c>
      <c r="BQ494" t="s">
        <v>74</v>
      </c>
      <c r="BR494" t="s">
        <v>101</v>
      </c>
      <c r="BS494" t="s">
        <v>8073</v>
      </c>
      <c r="BT494" t="str">
        <f>HYPERLINK("https%3A%2F%2Fwww.webofscience.com%2Fwos%2Fwoscc%2Ffull-record%2FWOS:000246144400005","View Full Record in Web of Science")</f>
        <v>View Full Record in Web of Science</v>
      </c>
    </row>
    <row r="495" spans="1:72" x14ac:dyDescent="0.15">
      <c r="A495" t="s">
        <v>72</v>
      </c>
      <c r="B495" t="s">
        <v>8074</v>
      </c>
      <c r="C495" t="s">
        <v>74</v>
      </c>
      <c r="D495" t="s">
        <v>74</v>
      </c>
      <c r="E495" t="s">
        <v>74</v>
      </c>
      <c r="F495" t="s">
        <v>8075</v>
      </c>
      <c r="G495" t="s">
        <v>74</v>
      </c>
      <c r="H495" t="s">
        <v>74</v>
      </c>
      <c r="I495" t="s">
        <v>8076</v>
      </c>
      <c r="J495" t="s">
        <v>130</v>
      </c>
      <c r="K495" t="s">
        <v>74</v>
      </c>
      <c r="L495" t="s">
        <v>74</v>
      </c>
      <c r="M495" t="s">
        <v>78</v>
      </c>
      <c r="N495" t="s">
        <v>79</v>
      </c>
      <c r="O495" t="s">
        <v>74</v>
      </c>
      <c r="P495" t="s">
        <v>74</v>
      </c>
      <c r="Q495" t="s">
        <v>74</v>
      </c>
      <c r="R495" t="s">
        <v>74</v>
      </c>
      <c r="S495" t="s">
        <v>74</v>
      </c>
      <c r="T495" t="s">
        <v>74</v>
      </c>
      <c r="U495" t="s">
        <v>8077</v>
      </c>
      <c r="V495" t="s">
        <v>8078</v>
      </c>
      <c r="W495" t="s">
        <v>8079</v>
      </c>
      <c r="X495" t="s">
        <v>8080</v>
      </c>
      <c r="Y495" t="s">
        <v>8081</v>
      </c>
      <c r="Z495" t="s">
        <v>8082</v>
      </c>
      <c r="AA495" t="s">
        <v>8083</v>
      </c>
      <c r="AB495" t="s">
        <v>8084</v>
      </c>
      <c r="AC495" t="s">
        <v>8085</v>
      </c>
      <c r="AD495" t="s">
        <v>140</v>
      </c>
      <c r="AE495" t="s">
        <v>74</v>
      </c>
      <c r="AF495" t="s">
        <v>74</v>
      </c>
      <c r="AG495">
        <v>22</v>
      </c>
      <c r="AH495">
        <v>55</v>
      </c>
      <c r="AI495">
        <v>60</v>
      </c>
      <c r="AJ495">
        <v>2</v>
      </c>
      <c r="AK495">
        <v>7</v>
      </c>
      <c r="AL495" t="s">
        <v>141</v>
      </c>
      <c r="AM495" t="s">
        <v>142</v>
      </c>
      <c r="AN495" t="s">
        <v>143</v>
      </c>
      <c r="AO495" t="s">
        <v>144</v>
      </c>
      <c r="AP495" t="s">
        <v>74</v>
      </c>
      <c r="AQ495" t="s">
        <v>74</v>
      </c>
      <c r="AR495" t="s">
        <v>146</v>
      </c>
      <c r="AS495" t="s">
        <v>147</v>
      </c>
      <c r="AT495" t="s">
        <v>8086</v>
      </c>
      <c r="AU495">
        <v>2007</v>
      </c>
      <c r="AV495">
        <v>34</v>
      </c>
      <c r="AW495">
        <v>8</v>
      </c>
      <c r="AX495" t="s">
        <v>74</v>
      </c>
      <c r="AY495" t="s">
        <v>74</v>
      </c>
      <c r="AZ495" t="s">
        <v>74</v>
      </c>
      <c r="BA495" t="s">
        <v>74</v>
      </c>
      <c r="BB495" t="s">
        <v>74</v>
      </c>
      <c r="BC495" t="s">
        <v>74</v>
      </c>
      <c r="BD495" t="s">
        <v>8087</v>
      </c>
      <c r="BE495" t="s">
        <v>8088</v>
      </c>
      <c r="BF495" t="str">
        <f>HYPERLINK("http://dx.doi.org/10.1029/2006GL028891","http://dx.doi.org/10.1029/2006GL028891")</f>
        <v>http://dx.doi.org/10.1029/2006GL028891</v>
      </c>
      <c r="BG495" t="s">
        <v>74</v>
      </c>
      <c r="BH495" t="s">
        <v>74</v>
      </c>
      <c r="BI495">
        <v>6</v>
      </c>
      <c r="BJ495" t="s">
        <v>151</v>
      </c>
      <c r="BK495" t="s">
        <v>98</v>
      </c>
      <c r="BL495" t="s">
        <v>152</v>
      </c>
      <c r="BM495" t="s">
        <v>8089</v>
      </c>
      <c r="BN495" t="s">
        <v>74</v>
      </c>
      <c r="BO495" t="s">
        <v>154</v>
      </c>
      <c r="BP495" t="s">
        <v>74</v>
      </c>
      <c r="BQ495" t="s">
        <v>74</v>
      </c>
      <c r="BR495" t="s">
        <v>101</v>
      </c>
      <c r="BS495" t="s">
        <v>8090</v>
      </c>
      <c r="BT495" t="str">
        <f>HYPERLINK("https%3A%2F%2Fwww.webofscience.com%2Fwos%2Fwoscc%2Ffull-record%2FWOS:000246140600001","View Full Record in Web of Science")</f>
        <v>View Full Record in Web of Science</v>
      </c>
    </row>
    <row r="496" spans="1:72" x14ac:dyDescent="0.15">
      <c r="A496" t="s">
        <v>72</v>
      </c>
      <c r="B496" t="s">
        <v>8091</v>
      </c>
      <c r="C496" t="s">
        <v>74</v>
      </c>
      <c r="D496" t="s">
        <v>74</v>
      </c>
      <c r="E496" t="s">
        <v>74</v>
      </c>
      <c r="F496" t="s">
        <v>8092</v>
      </c>
      <c r="G496" t="s">
        <v>74</v>
      </c>
      <c r="H496" t="s">
        <v>74</v>
      </c>
      <c r="I496" t="s">
        <v>8093</v>
      </c>
      <c r="J496" t="s">
        <v>182</v>
      </c>
      <c r="K496" t="s">
        <v>74</v>
      </c>
      <c r="L496" t="s">
        <v>74</v>
      </c>
      <c r="M496" t="s">
        <v>78</v>
      </c>
      <c r="N496" t="s">
        <v>79</v>
      </c>
      <c r="O496" t="s">
        <v>74</v>
      </c>
      <c r="P496" t="s">
        <v>74</v>
      </c>
      <c r="Q496" t="s">
        <v>74</v>
      </c>
      <c r="R496" t="s">
        <v>74</v>
      </c>
      <c r="S496" t="s">
        <v>74</v>
      </c>
      <c r="T496" t="s">
        <v>74</v>
      </c>
      <c r="U496" t="s">
        <v>8094</v>
      </c>
      <c r="V496" t="s">
        <v>8095</v>
      </c>
      <c r="W496" t="s">
        <v>8096</v>
      </c>
      <c r="X496" t="s">
        <v>8097</v>
      </c>
      <c r="Y496" t="s">
        <v>8098</v>
      </c>
      <c r="Z496" t="s">
        <v>8099</v>
      </c>
      <c r="AA496" t="s">
        <v>8100</v>
      </c>
      <c r="AB496" t="s">
        <v>8101</v>
      </c>
      <c r="AC496" t="s">
        <v>74</v>
      </c>
      <c r="AD496" t="s">
        <v>74</v>
      </c>
      <c r="AE496" t="s">
        <v>74</v>
      </c>
      <c r="AF496" t="s">
        <v>74</v>
      </c>
      <c r="AG496">
        <v>57</v>
      </c>
      <c r="AH496">
        <v>50</v>
      </c>
      <c r="AI496">
        <v>53</v>
      </c>
      <c r="AJ496">
        <v>0</v>
      </c>
      <c r="AK496">
        <v>28</v>
      </c>
      <c r="AL496" t="s">
        <v>141</v>
      </c>
      <c r="AM496" t="s">
        <v>142</v>
      </c>
      <c r="AN496" t="s">
        <v>143</v>
      </c>
      <c r="AO496" t="s">
        <v>189</v>
      </c>
      <c r="AP496" t="s">
        <v>549</v>
      </c>
      <c r="AQ496" t="s">
        <v>74</v>
      </c>
      <c r="AR496" t="s">
        <v>190</v>
      </c>
      <c r="AS496" t="s">
        <v>191</v>
      </c>
      <c r="AT496" t="s">
        <v>8086</v>
      </c>
      <c r="AU496">
        <v>2007</v>
      </c>
      <c r="AV496">
        <v>21</v>
      </c>
      <c r="AW496">
        <v>2</v>
      </c>
      <c r="AX496" t="s">
        <v>74</v>
      </c>
      <c r="AY496" t="s">
        <v>74</v>
      </c>
      <c r="AZ496" t="s">
        <v>74</v>
      </c>
      <c r="BA496" t="s">
        <v>74</v>
      </c>
      <c r="BB496" t="s">
        <v>74</v>
      </c>
      <c r="BC496" t="s">
        <v>74</v>
      </c>
      <c r="BD496" t="s">
        <v>8102</v>
      </c>
      <c r="BE496" t="s">
        <v>8103</v>
      </c>
      <c r="BF496" t="str">
        <f>HYPERLINK("http://dx.doi.org/10.1029/2006GB002711","http://dx.doi.org/10.1029/2006GB002711")</f>
        <v>http://dx.doi.org/10.1029/2006GB002711</v>
      </c>
      <c r="BG496" t="s">
        <v>74</v>
      </c>
      <c r="BH496" t="s">
        <v>74</v>
      </c>
      <c r="BI496">
        <v>9</v>
      </c>
      <c r="BJ496" t="s">
        <v>195</v>
      </c>
      <c r="BK496" t="s">
        <v>98</v>
      </c>
      <c r="BL496" t="s">
        <v>196</v>
      </c>
      <c r="BM496" t="s">
        <v>8104</v>
      </c>
      <c r="BN496" t="s">
        <v>74</v>
      </c>
      <c r="BO496" t="s">
        <v>154</v>
      </c>
      <c r="BP496" t="s">
        <v>74</v>
      </c>
      <c r="BQ496" t="s">
        <v>74</v>
      </c>
      <c r="BR496" t="s">
        <v>101</v>
      </c>
      <c r="BS496" t="s">
        <v>8105</v>
      </c>
      <c r="BT496" t="str">
        <f>HYPERLINK("https%3A%2F%2Fwww.webofscience.com%2Fwos%2Fwoscc%2Ffull-record%2FWOS:000246142200001","View Full Record in Web of Science")</f>
        <v>View Full Record in Web of Science</v>
      </c>
    </row>
    <row r="497" spans="1:72" x14ac:dyDescent="0.15">
      <c r="A497" t="s">
        <v>72</v>
      </c>
      <c r="B497" t="s">
        <v>8106</v>
      </c>
      <c r="C497" t="s">
        <v>74</v>
      </c>
      <c r="D497" t="s">
        <v>74</v>
      </c>
      <c r="E497" t="s">
        <v>74</v>
      </c>
      <c r="F497" t="s">
        <v>8107</v>
      </c>
      <c r="G497" t="s">
        <v>74</v>
      </c>
      <c r="H497" t="s">
        <v>74</v>
      </c>
      <c r="I497" t="s">
        <v>8108</v>
      </c>
      <c r="J497" t="s">
        <v>203</v>
      </c>
      <c r="K497" t="s">
        <v>74</v>
      </c>
      <c r="L497" t="s">
        <v>74</v>
      </c>
      <c r="M497" t="s">
        <v>78</v>
      </c>
      <c r="N497" t="s">
        <v>79</v>
      </c>
      <c r="O497" t="s">
        <v>74</v>
      </c>
      <c r="P497" t="s">
        <v>74</v>
      </c>
      <c r="Q497" t="s">
        <v>74</v>
      </c>
      <c r="R497" t="s">
        <v>74</v>
      </c>
      <c r="S497" t="s">
        <v>74</v>
      </c>
      <c r="T497" t="s">
        <v>74</v>
      </c>
      <c r="U497" t="s">
        <v>8109</v>
      </c>
      <c r="V497" t="s">
        <v>8110</v>
      </c>
      <c r="W497" t="s">
        <v>8111</v>
      </c>
      <c r="X497" t="s">
        <v>8112</v>
      </c>
      <c r="Y497" t="s">
        <v>8113</v>
      </c>
      <c r="Z497" t="s">
        <v>8114</v>
      </c>
      <c r="AA497" t="s">
        <v>6664</v>
      </c>
      <c r="AB497" t="s">
        <v>74</v>
      </c>
      <c r="AC497" t="s">
        <v>74</v>
      </c>
      <c r="AD497" t="s">
        <v>74</v>
      </c>
      <c r="AE497" t="s">
        <v>74</v>
      </c>
      <c r="AF497" t="s">
        <v>74</v>
      </c>
      <c r="AG497">
        <v>41</v>
      </c>
      <c r="AH497">
        <v>120</v>
      </c>
      <c r="AI497">
        <v>130</v>
      </c>
      <c r="AJ497">
        <v>2</v>
      </c>
      <c r="AK497">
        <v>21</v>
      </c>
      <c r="AL497" t="s">
        <v>141</v>
      </c>
      <c r="AM497" t="s">
        <v>142</v>
      </c>
      <c r="AN497" t="s">
        <v>143</v>
      </c>
      <c r="AO497" t="s">
        <v>213</v>
      </c>
      <c r="AP497" t="s">
        <v>214</v>
      </c>
      <c r="AQ497" t="s">
        <v>74</v>
      </c>
      <c r="AR497" t="s">
        <v>215</v>
      </c>
      <c r="AS497" t="s">
        <v>216</v>
      </c>
      <c r="AT497" t="s">
        <v>8086</v>
      </c>
      <c r="AU497">
        <v>2007</v>
      </c>
      <c r="AV497">
        <v>112</v>
      </c>
      <c r="AW497" t="s">
        <v>8069</v>
      </c>
      <c r="AX497" t="s">
        <v>74</v>
      </c>
      <c r="AY497" t="s">
        <v>74</v>
      </c>
      <c r="AZ497" t="s">
        <v>74</v>
      </c>
      <c r="BA497" t="s">
        <v>74</v>
      </c>
      <c r="BB497" t="s">
        <v>74</v>
      </c>
      <c r="BC497" t="s">
        <v>74</v>
      </c>
      <c r="BD497" t="s">
        <v>8115</v>
      </c>
      <c r="BE497" t="s">
        <v>8116</v>
      </c>
      <c r="BF497" t="str">
        <f>HYPERLINK("http://dx.doi.org/10.1029/2006JC003641","http://dx.doi.org/10.1029/2006JC003641")</f>
        <v>http://dx.doi.org/10.1029/2006JC003641</v>
      </c>
      <c r="BG497" t="s">
        <v>74</v>
      </c>
      <c r="BH497" t="s">
        <v>74</v>
      </c>
      <c r="BI497">
        <v>13</v>
      </c>
      <c r="BJ497" t="s">
        <v>221</v>
      </c>
      <c r="BK497" t="s">
        <v>98</v>
      </c>
      <c r="BL497" t="s">
        <v>221</v>
      </c>
      <c r="BM497" t="s">
        <v>8117</v>
      </c>
      <c r="BN497" t="s">
        <v>74</v>
      </c>
      <c r="BO497" t="s">
        <v>154</v>
      </c>
      <c r="BP497" t="s">
        <v>74</v>
      </c>
      <c r="BQ497" t="s">
        <v>74</v>
      </c>
      <c r="BR497" t="s">
        <v>101</v>
      </c>
      <c r="BS497" t="s">
        <v>8118</v>
      </c>
      <c r="BT497" t="str">
        <f>HYPERLINK("https%3A%2F%2Fwww.webofscience.com%2Fwos%2Fwoscc%2Ffull-record%2FWOS:000246144300002","View Full Record in Web of Science")</f>
        <v>View Full Record in Web of Science</v>
      </c>
    </row>
    <row r="498" spans="1:72" x14ac:dyDescent="0.15">
      <c r="A498" t="s">
        <v>72</v>
      </c>
      <c r="B498" t="s">
        <v>8119</v>
      </c>
      <c r="C498" t="s">
        <v>74</v>
      </c>
      <c r="D498" t="s">
        <v>74</v>
      </c>
      <c r="E498" t="s">
        <v>74</v>
      </c>
      <c r="F498" t="s">
        <v>8120</v>
      </c>
      <c r="G498" t="s">
        <v>74</v>
      </c>
      <c r="H498" t="s">
        <v>74</v>
      </c>
      <c r="I498" t="s">
        <v>8121</v>
      </c>
      <c r="J498" t="s">
        <v>8122</v>
      </c>
      <c r="K498" t="s">
        <v>74</v>
      </c>
      <c r="L498" t="s">
        <v>74</v>
      </c>
      <c r="M498" t="s">
        <v>78</v>
      </c>
      <c r="N498" t="s">
        <v>79</v>
      </c>
      <c r="O498" t="s">
        <v>74</v>
      </c>
      <c r="P498" t="s">
        <v>74</v>
      </c>
      <c r="Q498" t="s">
        <v>74</v>
      </c>
      <c r="R498" t="s">
        <v>74</v>
      </c>
      <c r="S498" t="s">
        <v>74</v>
      </c>
      <c r="T498" t="s">
        <v>8123</v>
      </c>
      <c r="U498" t="s">
        <v>8124</v>
      </c>
      <c r="V498" t="s">
        <v>8125</v>
      </c>
      <c r="W498" t="s">
        <v>8126</v>
      </c>
      <c r="X498" t="s">
        <v>8127</v>
      </c>
      <c r="Y498" t="s">
        <v>8128</v>
      </c>
      <c r="Z498" t="s">
        <v>8129</v>
      </c>
      <c r="AA498" t="s">
        <v>8130</v>
      </c>
      <c r="AB498" t="s">
        <v>8131</v>
      </c>
      <c r="AC498" t="s">
        <v>74</v>
      </c>
      <c r="AD498" t="s">
        <v>74</v>
      </c>
      <c r="AE498" t="s">
        <v>74</v>
      </c>
      <c r="AF498" t="s">
        <v>74</v>
      </c>
      <c r="AG498">
        <v>54</v>
      </c>
      <c r="AH498">
        <v>75</v>
      </c>
      <c r="AI498">
        <v>80</v>
      </c>
      <c r="AJ498">
        <v>1</v>
      </c>
      <c r="AK498">
        <v>65</v>
      </c>
      <c r="AL498" t="s">
        <v>592</v>
      </c>
      <c r="AM498" t="s">
        <v>273</v>
      </c>
      <c r="AN498" t="s">
        <v>593</v>
      </c>
      <c r="AO498" t="s">
        <v>8132</v>
      </c>
      <c r="AP498" t="s">
        <v>8133</v>
      </c>
      <c r="AQ498" t="s">
        <v>74</v>
      </c>
      <c r="AR498" t="s">
        <v>8134</v>
      </c>
      <c r="AS498" t="s">
        <v>8135</v>
      </c>
      <c r="AT498" t="s">
        <v>8136</v>
      </c>
      <c r="AU498">
        <v>2007</v>
      </c>
      <c r="AV498">
        <v>589</v>
      </c>
      <c r="AW498">
        <v>1</v>
      </c>
      <c r="AX498" t="s">
        <v>74</v>
      </c>
      <c r="AY498" t="s">
        <v>74</v>
      </c>
      <c r="AZ498" t="s">
        <v>74</v>
      </c>
      <c r="BA498" t="s">
        <v>74</v>
      </c>
      <c r="BB498">
        <v>105</v>
      </c>
      <c r="BC498">
        <v>119</v>
      </c>
      <c r="BD498" t="s">
        <v>74</v>
      </c>
      <c r="BE498" t="s">
        <v>8137</v>
      </c>
      <c r="BF498" t="str">
        <f>HYPERLINK("http://dx.doi.org/10.1016/j.aca.2007.02.055","http://dx.doi.org/10.1016/j.aca.2007.02.055")</f>
        <v>http://dx.doi.org/10.1016/j.aca.2007.02.055</v>
      </c>
      <c r="BG498" t="s">
        <v>74</v>
      </c>
      <c r="BH498" t="s">
        <v>74</v>
      </c>
      <c r="BI498">
        <v>15</v>
      </c>
      <c r="BJ498" t="s">
        <v>8138</v>
      </c>
      <c r="BK498" t="s">
        <v>98</v>
      </c>
      <c r="BL498" t="s">
        <v>6486</v>
      </c>
      <c r="BM498" t="s">
        <v>8139</v>
      </c>
      <c r="BN498">
        <v>17397660</v>
      </c>
      <c r="BO498" t="s">
        <v>198</v>
      </c>
      <c r="BP498" t="s">
        <v>74</v>
      </c>
      <c r="BQ498" t="s">
        <v>74</v>
      </c>
      <c r="BR498" t="s">
        <v>101</v>
      </c>
      <c r="BS498" t="s">
        <v>8140</v>
      </c>
      <c r="BT498" t="str">
        <f>HYPERLINK("https%3A%2F%2Fwww.webofscience.com%2Fwos%2Fwoscc%2Ffull-record%2FWOS:000245845400016","View Full Record in Web of Science")</f>
        <v>View Full Record in Web of Science</v>
      </c>
    </row>
    <row r="499" spans="1:72" x14ac:dyDescent="0.15">
      <c r="A499" t="s">
        <v>72</v>
      </c>
      <c r="B499" t="s">
        <v>8141</v>
      </c>
      <c r="C499" t="s">
        <v>74</v>
      </c>
      <c r="D499" t="s">
        <v>74</v>
      </c>
      <c r="E499" t="s">
        <v>74</v>
      </c>
      <c r="F499" t="s">
        <v>8142</v>
      </c>
      <c r="G499" t="s">
        <v>74</v>
      </c>
      <c r="H499" t="s">
        <v>74</v>
      </c>
      <c r="I499" t="s">
        <v>8143</v>
      </c>
      <c r="J499" t="s">
        <v>159</v>
      </c>
      <c r="K499" t="s">
        <v>74</v>
      </c>
      <c r="L499" t="s">
        <v>74</v>
      </c>
      <c r="M499" t="s">
        <v>78</v>
      </c>
      <c r="N499" t="s">
        <v>79</v>
      </c>
      <c r="O499" t="s">
        <v>74</v>
      </c>
      <c r="P499" t="s">
        <v>74</v>
      </c>
      <c r="Q499" t="s">
        <v>74</v>
      </c>
      <c r="R499" t="s">
        <v>74</v>
      </c>
      <c r="S499" t="s">
        <v>74</v>
      </c>
      <c r="T499" t="s">
        <v>74</v>
      </c>
      <c r="U499" t="s">
        <v>8144</v>
      </c>
      <c r="V499" t="s">
        <v>8145</v>
      </c>
      <c r="W499" t="s">
        <v>8146</v>
      </c>
      <c r="X499" t="s">
        <v>8147</v>
      </c>
      <c r="Y499" t="s">
        <v>8148</v>
      </c>
      <c r="Z499" t="s">
        <v>8149</v>
      </c>
      <c r="AA499" t="s">
        <v>8150</v>
      </c>
      <c r="AB499" t="s">
        <v>8151</v>
      </c>
      <c r="AC499" t="s">
        <v>1125</v>
      </c>
      <c r="AD499" t="s">
        <v>361</v>
      </c>
      <c r="AE499" t="s">
        <v>74</v>
      </c>
      <c r="AF499" t="s">
        <v>74</v>
      </c>
      <c r="AG499">
        <v>99</v>
      </c>
      <c r="AH499">
        <v>521</v>
      </c>
      <c r="AI499">
        <v>541</v>
      </c>
      <c r="AJ499">
        <v>3</v>
      </c>
      <c r="AK499">
        <v>33</v>
      </c>
      <c r="AL499" t="s">
        <v>141</v>
      </c>
      <c r="AM499" t="s">
        <v>142</v>
      </c>
      <c r="AN499" t="s">
        <v>143</v>
      </c>
      <c r="AO499" t="s">
        <v>168</v>
      </c>
      <c r="AP499" t="s">
        <v>169</v>
      </c>
      <c r="AQ499" t="s">
        <v>74</v>
      </c>
      <c r="AR499" t="s">
        <v>170</v>
      </c>
      <c r="AS499" t="s">
        <v>171</v>
      </c>
      <c r="AT499" t="s">
        <v>8152</v>
      </c>
      <c r="AU499">
        <v>2007</v>
      </c>
      <c r="AV499">
        <v>112</v>
      </c>
      <c r="AW499" t="s">
        <v>8153</v>
      </c>
      <c r="AX499" t="s">
        <v>74</v>
      </c>
      <c r="AY499" t="s">
        <v>74</v>
      </c>
      <c r="AZ499" t="s">
        <v>74</v>
      </c>
      <c r="BA499" t="s">
        <v>74</v>
      </c>
      <c r="BB499" t="s">
        <v>74</v>
      </c>
      <c r="BC499" t="s">
        <v>74</v>
      </c>
      <c r="BD499" t="s">
        <v>8154</v>
      </c>
      <c r="BE499" t="s">
        <v>8155</v>
      </c>
      <c r="BF499" t="str">
        <f>HYPERLINK("http://dx.doi.org/10.1029/2006JA011993","http://dx.doi.org/10.1029/2006JA011993")</f>
        <v>http://dx.doi.org/10.1029/2006JA011993</v>
      </c>
      <c r="BG499" t="s">
        <v>74</v>
      </c>
      <c r="BH499" t="s">
        <v>74</v>
      </c>
      <c r="BI499">
        <v>21</v>
      </c>
      <c r="BJ499" t="s">
        <v>175</v>
      </c>
      <c r="BK499" t="s">
        <v>98</v>
      </c>
      <c r="BL499" t="s">
        <v>175</v>
      </c>
      <c r="BM499" t="s">
        <v>8156</v>
      </c>
      <c r="BN499" t="s">
        <v>74</v>
      </c>
      <c r="BO499" t="s">
        <v>833</v>
      </c>
      <c r="BP499" t="s">
        <v>74</v>
      </c>
      <c r="BQ499" t="s">
        <v>74</v>
      </c>
      <c r="BR499" t="s">
        <v>101</v>
      </c>
      <c r="BS499" t="s">
        <v>8157</v>
      </c>
      <c r="BT499" t="str">
        <f>HYPERLINK("https%3A%2F%2Fwww.webofscience.com%2Fwos%2Fwoscc%2Ffull-record%2FWOS:000245732100002","View Full Record in Web of Science")</f>
        <v>View Full Record in Web of Science</v>
      </c>
    </row>
    <row r="500" spans="1:72" x14ac:dyDescent="0.15">
      <c r="A500" t="s">
        <v>72</v>
      </c>
      <c r="B500" t="s">
        <v>8141</v>
      </c>
      <c r="C500" t="s">
        <v>74</v>
      </c>
      <c r="D500" t="s">
        <v>74</v>
      </c>
      <c r="E500" t="s">
        <v>74</v>
      </c>
      <c r="F500" t="s">
        <v>8142</v>
      </c>
      <c r="G500" t="s">
        <v>74</v>
      </c>
      <c r="H500" t="s">
        <v>74</v>
      </c>
      <c r="I500" t="s">
        <v>8158</v>
      </c>
      <c r="J500" t="s">
        <v>159</v>
      </c>
      <c r="K500" t="s">
        <v>74</v>
      </c>
      <c r="L500" t="s">
        <v>74</v>
      </c>
      <c r="M500" t="s">
        <v>78</v>
      </c>
      <c r="N500" t="s">
        <v>79</v>
      </c>
      <c r="O500" t="s">
        <v>74</v>
      </c>
      <c r="P500" t="s">
        <v>74</v>
      </c>
      <c r="Q500" t="s">
        <v>74</v>
      </c>
      <c r="R500" t="s">
        <v>74</v>
      </c>
      <c r="S500" t="s">
        <v>74</v>
      </c>
      <c r="T500" t="s">
        <v>74</v>
      </c>
      <c r="U500" t="s">
        <v>8159</v>
      </c>
      <c r="V500" t="s">
        <v>8160</v>
      </c>
      <c r="W500" t="s">
        <v>8146</v>
      </c>
      <c r="X500" t="s">
        <v>8147</v>
      </c>
      <c r="Y500" t="s">
        <v>8148</v>
      </c>
      <c r="Z500" t="s">
        <v>8149</v>
      </c>
      <c r="AA500" t="s">
        <v>8150</v>
      </c>
      <c r="AB500" t="s">
        <v>8161</v>
      </c>
      <c r="AC500" t="s">
        <v>1125</v>
      </c>
      <c r="AD500" t="s">
        <v>361</v>
      </c>
      <c r="AE500" t="s">
        <v>74</v>
      </c>
      <c r="AF500" t="s">
        <v>74</v>
      </c>
      <c r="AG500">
        <v>55</v>
      </c>
      <c r="AH500">
        <v>231</v>
      </c>
      <c r="AI500">
        <v>244</v>
      </c>
      <c r="AJ500">
        <v>2</v>
      </c>
      <c r="AK500">
        <v>16</v>
      </c>
      <c r="AL500" t="s">
        <v>141</v>
      </c>
      <c r="AM500" t="s">
        <v>142</v>
      </c>
      <c r="AN500" t="s">
        <v>143</v>
      </c>
      <c r="AO500" t="s">
        <v>168</v>
      </c>
      <c r="AP500" t="s">
        <v>169</v>
      </c>
      <c r="AQ500" t="s">
        <v>74</v>
      </c>
      <c r="AR500" t="s">
        <v>170</v>
      </c>
      <c r="AS500" t="s">
        <v>171</v>
      </c>
      <c r="AT500" t="s">
        <v>8152</v>
      </c>
      <c r="AU500">
        <v>2007</v>
      </c>
      <c r="AV500">
        <v>112</v>
      </c>
      <c r="AW500" t="s">
        <v>8153</v>
      </c>
      <c r="AX500" t="s">
        <v>74</v>
      </c>
      <c r="AY500" t="s">
        <v>74</v>
      </c>
      <c r="AZ500" t="s">
        <v>74</v>
      </c>
      <c r="BA500" t="s">
        <v>74</v>
      </c>
      <c r="BB500" t="s">
        <v>74</v>
      </c>
      <c r="BC500" t="s">
        <v>74</v>
      </c>
      <c r="BD500" t="s">
        <v>8162</v>
      </c>
      <c r="BE500" t="s">
        <v>8163</v>
      </c>
      <c r="BF500" t="str">
        <f>HYPERLINK("http://dx.doi.org/10.1029/2006JA011801","http://dx.doi.org/10.1029/2006JA011801")</f>
        <v>http://dx.doi.org/10.1029/2006JA011801</v>
      </c>
      <c r="BG500" t="s">
        <v>74</v>
      </c>
      <c r="BH500" t="s">
        <v>74</v>
      </c>
      <c r="BI500">
        <v>11</v>
      </c>
      <c r="BJ500" t="s">
        <v>175</v>
      </c>
      <c r="BK500" t="s">
        <v>98</v>
      </c>
      <c r="BL500" t="s">
        <v>175</v>
      </c>
      <c r="BM500" t="s">
        <v>8156</v>
      </c>
      <c r="BN500" t="s">
        <v>74</v>
      </c>
      <c r="BO500" t="s">
        <v>833</v>
      </c>
      <c r="BP500" t="s">
        <v>74</v>
      </c>
      <c r="BQ500" t="s">
        <v>74</v>
      </c>
      <c r="BR500" t="s">
        <v>101</v>
      </c>
      <c r="BS500" t="s">
        <v>8164</v>
      </c>
      <c r="BT500" t="str">
        <f>HYPERLINK("https%3A%2F%2Fwww.webofscience.com%2Fwos%2Fwoscc%2Ffull-record%2FWOS:000245732100001","View Full Record in Web of Science")</f>
        <v>View Full Record in Web of Science</v>
      </c>
    </row>
    <row r="501" spans="1:72" x14ac:dyDescent="0.15">
      <c r="A501" t="s">
        <v>72</v>
      </c>
      <c r="B501" t="s">
        <v>8165</v>
      </c>
      <c r="C501" t="s">
        <v>74</v>
      </c>
      <c r="D501" t="s">
        <v>74</v>
      </c>
      <c r="E501" t="s">
        <v>74</v>
      </c>
      <c r="F501" t="s">
        <v>8166</v>
      </c>
      <c r="G501" t="s">
        <v>74</v>
      </c>
      <c r="H501" t="s">
        <v>74</v>
      </c>
      <c r="I501" t="s">
        <v>8167</v>
      </c>
      <c r="J501" t="s">
        <v>416</v>
      </c>
      <c r="K501" t="s">
        <v>74</v>
      </c>
      <c r="L501" t="s">
        <v>74</v>
      </c>
      <c r="M501" t="s">
        <v>78</v>
      </c>
      <c r="N501" t="s">
        <v>79</v>
      </c>
      <c r="O501" t="s">
        <v>74</v>
      </c>
      <c r="P501" t="s">
        <v>74</v>
      </c>
      <c r="Q501" t="s">
        <v>74</v>
      </c>
      <c r="R501" t="s">
        <v>74</v>
      </c>
      <c r="S501" t="s">
        <v>74</v>
      </c>
      <c r="T501" t="s">
        <v>74</v>
      </c>
      <c r="U501" t="s">
        <v>8168</v>
      </c>
      <c r="V501" t="s">
        <v>8169</v>
      </c>
      <c r="W501" t="s">
        <v>8170</v>
      </c>
      <c r="X501" t="s">
        <v>953</v>
      </c>
      <c r="Y501" t="s">
        <v>8171</v>
      </c>
      <c r="Z501" t="s">
        <v>8172</v>
      </c>
      <c r="AA501" t="s">
        <v>74</v>
      </c>
      <c r="AB501" t="s">
        <v>74</v>
      </c>
      <c r="AC501" t="s">
        <v>74</v>
      </c>
      <c r="AD501" t="s">
        <v>74</v>
      </c>
      <c r="AE501" t="s">
        <v>74</v>
      </c>
      <c r="AF501" t="s">
        <v>74</v>
      </c>
      <c r="AG501">
        <v>64</v>
      </c>
      <c r="AH501">
        <v>15</v>
      </c>
      <c r="AI501">
        <v>17</v>
      </c>
      <c r="AJ501">
        <v>0</v>
      </c>
      <c r="AK501">
        <v>12</v>
      </c>
      <c r="AL501" t="s">
        <v>141</v>
      </c>
      <c r="AM501" t="s">
        <v>142</v>
      </c>
      <c r="AN501" t="s">
        <v>143</v>
      </c>
      <c r="AO501" t="s">
        <v>427</v>
      </c>
      <c r="AP501" t="s">
        <v>428</v>
      </c>
      <c r="AQ501" t="s">
        <v>74</v>
      </c>
      <c r="AR501" t="s">
        <v>429</v>
      </c>
      <c r="AS501" t="s">
        <v>430</v>
      </c>
      <c r="AT501" t="s">
        <v>8173</v>
      </c>
      <c r="AU501">
        <v>2007</v>
      </c>
      <c r="AV501">
        <v>112</v>
      </c>
      <c r="AW501" t="s">
        <v>8174</v>
      </c>
      <c r="AX501" t="s">
        <v>74</v>
      </c>
      <c r="AY501" t="s">
        <v>74</v>
      </c>
      <c r="AZ501" t="s">
        <v>74</v>
      </c>
      <c r="BA501" t="s">
        <v>74</v>
      </c>
      <c r="BB501" t="s">
        <v>74</v>
      </c>
      <c r="BC501" t="s">
        <v>74</v>
      </c>
      <c r="BD501" t="s">
        <v>8175</v>
      </c>
      <c r="BE501" t="s">
        <v>8176</v>
      </c>
      <c r="BF501" t="str">
        <f>HYPERLINK("http://dx.doi.org/10.1029/2006JD008027","http://dx.doi.org/10.1029/2006JD008027")</f>
        <v>http://dx.doi.org/10.1029/2006JD008027</v>
      </c>
      <c r="BG501" t="s">
        <v>74</v>
      </c>
      <c r="BH501" t="s">
        <v>74</v>
      </c>
      <c r="BI501">
        <v>9</v>
      </c>
      <c r="BJ501" t="s">
        <v>435</v>
      </c>
      <c r="BK501" t="s">
        <v>98</v>
      </c>
      <c r="BL501" t="s">
        <v>435</v>
      </c>
      <c r="BM501" t="s">
        <v>8177</v>
      </c>
      <c r="BN501" t="s">
        <v>74</v>
      </c>
      <c r="BO501" t="s">
        <v>8178</v>
      </c>
      <c r="BP501" t="s">
        <v>74</v>
      </c>
      <c r="BQ501" t="s">
        <v>74</v>
      </c>
      <c r="BR501" t="s">
        <v>101</v>
      </c>
      <c r="BS501" t="s">
        <v>8179</v>
      </c>
      <c r="BT501" t="str">
        <f>HYPERLINK("https%3A%2F%2Fwww.webofscience.com%2Fwos%2Fwoscc%2Ffull-record%2FWOS:000245727500005","View Full Record in Web of Science")</f>
        <v>View Full Record in Web of Science</v>
      </c>
    </row>
    <row r="502" spans="1:72" x14ac:dyDescent="0.15">
      <c r="A502" t="s">
        <v>72</v>
      </c>
      <c r="B502" t="s">
        <v>8180</v>
      </c>
      <c r="C502" t="s">
        <v>74</v>
      </c>
      <c r="D502" t="s">
        <v>74</v>
      </c>
      <c r="E502" t="s">
        <v>74</v>
      </c>
      <c r="F502" t="s">
        <v>8181</v>
      </c>
      <c r="G502" t="s">
        <v>74</v>
      </c>
      <c r="H502" t="s">
        <v>74</v>
      </c>
      <c r="I502" t="s">
        <v>8182</v>
      </c>
      <c r="J502" t="s">
        <v>351</v>
      </c>
      <c r="K502" t="s">
        <v>74</v>
      </c>
      <c r="L502" t="s">
        <v>74</v>
      </c>
      <c r="M502" t="s">
        <v>78</v>
      </c>
      <c r="N502" t="s">
        <v>8183</v>
      </c>
      <c r="O502" t="s">
        <v>74</v>
      </c>
      <c r="P502" t="s">
        <v>74</v>
      </c>
      <c r="Q502" t="s">
        <v>74</v>
      </c>
      <c r="R502" t="s">
        <v>74</v>
      </c>
      <c r="S502" t="s">
        <v>74</v>
      </c>
      <c r="T502" t="s">
        <v>74</v>
      </c>
      <c r="U502" t="s">
        <v>74</v>
      </c>
      <c r="V502" t="s">
        <v>74</v>
      </c>
      <c r="W502" t="s">
        <v>74</v>
      </c>
      <c r="X502" t="s">
        <v>74</v>
      </c>
      <c r="Y502" t="s">
        <v>74</v>
      </c>
      <c r="Z502" t="s">
        <v>74</v>
      </c>
      <c r="AA502" t="s">
        <v>74</v>
      </c>
      <c r="AB502" t="s">
        <v>74</v>
      </c>
      <c r="AC502" t="s">
        <v>74</v>
      </c>
      <c r="AD502" t="s">
        <v>74</v>
      </c>
      <c r="AE502" t="s">
        <v>74</v>
      </c>
      <c r="AF502" t="s">
        <v>74</v>
      </c>
      <c r="AG502">
        <v>1</v>
      </c>
      <c r="AH502">
        <v>0</v>
      </c>
      <c r="AI502">
        <v>0</v>
      </c>
      <c r="AJ502">
        <v>0</v>
      </c>
      <c r="AK502">
        <v>0</v>
      </c>
      <c r="AL502" t="s">
        <v>362</v>
      </c>
      <c r="AM502" t="s">
        <v>363</v>
      </c>
      <c r="AN502" t="s">
        <v>364</v>
      </c>
      <c r="AO502" t="s">
        <v>365</v>
      </c>
      <c r="AP502" t="s">
        <v>74</v>
      </c>
      <c r="AQ502" t="s">
        <v>74</v>
      </c>
      <c r="AR502" t="s">
        <v>351</v>
      </c>
      <c r="AS502" t="s">
        <v>367</v>
      </c>
      <c r="AT502" t="s">
        <v>8173</v>
      </c>
      <c r="AU502">
        <v>2007</v>
      </c>
      <c r="AV502">
        <v>446</v>
      </c>
      <c r="AW502">
        <v>7137</v>
      </c>
      <c r="AX502" t="s">
        <v>74</v>
      </c>
      <c r="AY502" t="s">
        <v>74</v>
      </c>
      <c r="AZ502" t="s">
        <v>74</v>
      </c>
      <c r="BA502" t="s">
        <v>74</v>
      </c>
      <c r="BB502">
        <v>713</v>
      </c>
      <c r="BC502">
        <v>713</v>
      </c>
      <c r="BD502" t="s">
        <v>74</v>
      </c>
      <c r="BE502" t="s">
        <v>8184</v>
      </c>
      <c r="BF502" t="str">
        <f>HYPERLINK("http://dx.doi.org/10.1038/446713b","http://dx.doi.org/10.1038/446713b")</f>
        <v>http://dx.doi.org/10.1038/446713b</v>
      </c>
      <c r="BG502" t="s">
        <v>74</v>
      </c>
      <c r="BH502" t="s">
        <v>74</v>
      </c>
      <c r="BI502">
        <v>1</v>
      </c>
      <c r="BJ502" t="s">
        <v>241</v>
      </c>
      <c r="BK502" t="s">
        <v>98</v>
      </c>
      <c r="BL502" t="s">
        <v>242</v>
      </c>
      <c r="BM502" t="s">
        <v>8185</v>
      </c>
      <c r="BN502" t="s">
        <v>74</v>
      </c>
      <c r="BO502" t="s">
        <v>154</v>
      </c>
      <c r="BP502" t="s">
        <v>74</v>
      </c>
      <c r="BQ502" t="s">
        <v>74</v>
      </c>
      <c r="BR502" t="s">
        <v>101</v>
      </c>
      <c r="BS502" t="s">
        <v>8186</v>
      </c>
      <c r="BT502" t="str">
        <f>HYPERLINK("https%3A%2F%2Fwww.webofscience.com%2Fwos%2Fwoscc%2Ffull-record%2FWOS:000245626800008","View Full Record in Web of Science")</f>
        <v>View Full Record in Web of Science</v>
      </c>
    </row>
    <row r="503" spans="1:72" x14ac:dyDescent="0.15">
      <c r="A503" t="s">
        <v>72</v>
      </c>
      <c r="B503" t="s">
        <v>8187</v>
      </c>
      <c r="C503" t="s">
        <v>74</v>
      </c>
      <c r="D503" t="s">
        <v>74</v>
      </c>
      <c r="E503" t="s">
        <v>74</v>
      </c>
      <c r="F503" t="s">
        <v>8188</v>
      </c>
      <c r="G503" t="s">
        <v>74</v>
      </c>
      <c r="H503" t="s">
        <v>74</v>
      </c>
      <c r="I503" t="s">
        <v>8189</v>
      </c>
      <c r="J503" t="s">
        <v>2980</v>
      </c>
      <c r="K503" t="s">
        <v>74</v>
      </c>
      <c r="L503" t="s">
        <v>74</v>
      </c>
      <c r="M503" t="s">
        <v>78</v>
      </c>
      <c r="N503" t="s">
        <v>79</v>
      </c>
      <c r="O503" t="s">
        <v>74</v>
      </c>
      <c r="P503" t="s">
        <v>74</v>
      </c>
      <c r="Q503" t="s">
        <v>74</v>
      </c>
      <c r="R503" t="s">
        <v>74</v>
      </c>
      <c r="S503" t="s">
        <v>74</v>
      </c>
      <c r="T503" t="s">
        <v>74</v>
      </c>
      <c r="U503" t="s">
        <v>8190</v>
      </c>
      <c r="V503" t="s">
        <v>8191</v>
      </c>
      <c r="W503" t="s">
        <v>8192</v>
      </c>
      <c r="X503" t="s">
        <v>8193</v>
      </c>
      <c r="Y503" t="s">
        <v>8194</v>
      </c>
      <c r="Z503" t="s">
        <v>8195</v>
      </c>
      <c r="AA503" t="s">
        <v>74</v>
      </c>
      <c r="AB503" t="s">
        <v>8196</v>
      </c>
      <c r="AC503" t="s">
        <v>74</v>
      </c>
      <c r="AD503" t="s">
        <v>74</v>
      </c>
      <c r="AE503" t="s">
        <v>74</v>
      </c>
      <c r="AF503" t="s">
        <v>74</v>
      </c>
      <c r="AG503">
        <v>12</v>
      </c>
      <c r="AH503">
        <v>1</v>
      </c>
      <c r="AI503">
        <v>2</v>
      </c>
      <c r="AJ503">
        <v>0</v>
      </c>
      <c r="AK503">
        <v>0</v>
      </c>
      <c r="AL503" t="s">
        <v>2988</v>
      </c>
      <c r="AM503" t="s">
        <v>142</v>
      </c>
      <c r="AN503" t="s">
        <v>2989</v>
      </c>
      <c r="AO503" t="s">
        <v>2990</v>
      </c>
      <c r="AP503" t="s">
        <v>2991</v>
      </c>
      <c r="AQ503" t="s">
        <v>74</v>
      </c>
      <c r="AR503" t="s">
        <v>2992</v>
      </c>
      <c r="AS503" t="s">
        <v>2993</v>
      </c>
      <c r="AT503" t="s">
        <v>8197</v>
      </c>
      <c r="AU503">
        <v>2007</v>
      </c>
      <c r="AV503">
        <v>46</v>
      </c>
      <c r="AW503">
        <v>11</v>
      </c>
      <c r="AX503" t="s">
        <v>74</v>
      </c>
      <c r="AY503" t="s">
        <v>74</v>
      </c>
      <c r="AZ503" t="s">
        <v>74</v>
      </c>
      <c r="BA503" t="s">
        <v>74</v>
      </c>
      <c r="BB503">
        <v>2091</v>
      </c>
      <c r="BC503">
        <v>2098</v>
      </c>
      <c r="BD503" t="s">
        <v>74</v>
      </c>
      <c r="BE503" t="s">
        <v>8198</v>
      </c>
      <c r="BF503" t="str">
        <f>HYPERLINK("http://dx.doi.org/10.1364/AO.46.002091","http://dx.doi.org/10.1364/AO.46.002091")</f>
        <v>http://dx.doi.org/10.1364/AO.46.002091</v>
      </c>
      <c r="BG503" t="s">
        <v>74</v>
      </c>
      <c r="BH503" t="s">
        <v>74</v>
      </c>
      <c r="BI503">
        <v>8</v>
      </c>
      <c r="BJ503" t="s">
        <v>2996</v>
      </c>
      <c r="BK503" t="s">
        <v>98</v>
      </c>
      <c r="BL503" t="s">
        <v>2996</v>
      </c>
      <c r="BM503" t="s">
        <v>8199</v>
      </c>
      <c r="BN503">
        <v>17384725</v>
      </c>
      <c r="BO503" t="s">
        <v>74</v>
      </c>
      <c r="BP503" t="s">
        <v>74</v>
      </c>
      <c r="BQ503" t="s">
        <v>74</v>
      </c>
      <c r="BR503" t="s">
        <v>101</v>
      </c>
      <c r="BS503" t="s">
        <v>8200</v>
      </c>
      <c r="BT503" t="str">
        <f>HYPERLINK("https%3A%2F%2Fwww.webofscience.com%2Fwos%2Fwoscc%2Ffull-record%2FWOS:000245317000019","View Full Record in Web of Science")</f>
        <v>View Full Record in Web of Science</v>
      </c>
    </row>
    <row r="504" spans="1:72" x14ac:dyDescent="0.15">
      <c r="A504" t="s">
        <v>72</v>
      </c>
      <c r="B504" t="s">
        <v>8201</v>
      </c>
      <c r="C504" t="s">
        <v>74</v>
      </c>
      <c r="D504" t="s">
        <v>74</v>
      </c>
      <c r="E504" t="s">
        <v>74</v>
      </c>
      <c r="F504" t="s">
        <v>8202</v>
      </c>
      <c r="G504" t="s">
        <v>74</v>
      </c>
      <c r="H504" t="s">
        <v>74</v>
      </c>
      <c r="I504" t="s">
        <v>8203</v>
      </c>
      <c r="J504" t="s">
        <v>416</v>
      </c>
      <c r="K504" t="s">
        <v>74</v>
      </c>
      <c r="L504" t="s">
        <v>74</v>
      </c>
      <c r="M504" t="s">
        <v>78</v>
      </c>
      <c r="N504" t="s">
        <v>79</v>
      </c>
      <c r="O504" t="s">
        <v>74</v>
      </c>
      <c r="P504" t="s">
        <v>74</v>
      </c>
      <c r="Q504" t="s">
        <v>74</v>
      </c>
      <c r="R504" t="s">
        <v>74</v>
      </c>
      <c r="S504" t="s">
        <v>74</v>
      </c>
      <c r="T504" t="s">
        <v>74</v>
      </c>
      <c r="U504" t="s">
        <v>8204</v>
      </c>
      <c r="V504" t="s">
        <v>8205</v>
      </c>
      <c r="W504" t="s">
        <v>8206</v>
      </c>
      <c r="X504" t="s">
        <v>8207</v>
      </c>
      <c r="Y504" t="s">
        <v>8208</v>
      </c>
      <c r="Z504" t="s">
        <v>447</v>
      </c>
      <c r="AA504" t="s">
        <v>74</v>
      </c>
      <c r="AB504" t="s">
        <v>74</v>
      </c>
      <c r="AC504" t="s">
        <v>74</v>
      </c>
      <c r="AD504" t="s">
        <v>74</v>
      </c>
      <c r="AE504" t="s">
        <v>74</v>
      </c>
      <c r="AF504" t="s">
        <v>74</v>
      </c>
      <c r="AG504">
        <v>29</v>
      </c>
      <c r="AH504">
        <v>4</v>
      </c>
      <c r="AI504">
        <v>4</v>
      </c>
      <c r="AJ504">
        <v>0</v>
      </c>
      <c r="AK504">
        <v>5</v>
      </c>
      <c r="AL504" t="s">
        <v>141</v>
      </c>
      <c r="AM504" t="s">
        <v>142</v>
      </c>
      <c r="AN504" t="s">
        <v>143</v>
      </c>
      <c r="AO504" t="s">
        <v>427</v>
      </c>
      <c r="AP504" t="s">
        <v>428</v>
      </c>
      <c r="AQ504" t="s">
        <v>74</v>
      </c>
      <c r="AR504" t="s">
        <v>429</v>
      </c>
      <c r="AS504" t="s">
        <v>430</v>
      </c>
      <c r="AT504" t="s">
        <v>8209</v>
      </c>
      <c r="AU504">
        <v>2007</v>
      </c>
      <c r="AV504">
        <v>112</v>
      </c>
      <c r="AW504" t="s">
        <v>8174</v>
      </c>
      <c r="AX504" t="s">
        <v>74</v>
      </c>
      <c r="AY504" t="s">
        <v>74</v>
      </c>
      <c r="AZ504" t="s">
        <v>74</v>
      </c>
      <c r="BA504" t="s">
        <v>74</v>
      </c>
      <c r="BB504" t="s">
        <v>74</v>
      </c>
      <c r="BC504" t="s">
        <v>74</v>
      </c>
      <c r="BD504" t="s">
        <v>8210</v>
      </c>
      <c r="BE504" t="s">
        <v>8211</v>
      </c>
      <c r="BF504" t="str">
        <f>HYPERLINK("http://dx.doi.org/10.1029/2006JD007414","http://dx.doi.org/10.1029/2006JD007414")</f>
        <v>http://dx.doi.org/10.1029/2006JD007414</v>
      </c>
      <c r="BG504" t="s">
        <v>74</v>
      </c>
      <c r="BH504" t="s">
        <v>74</v>
      </c>
      <c r="BI504">
        <v>9</v>
      </c>
      <c r="BJ504" t="s">
        <v>435</v>
      </c>
      <c r="BK504" t="s">
        <v>98</v>
      </c>
      <c r="BL504" t="s">
        <v>435</v>
      </c>
      <c r="BM504" t="s">
        <v>8212</v>
      </c>
      <c r="BN504" t="s">
        <v>74</v>
      </c>
      <c r="BO504" t="s">
        <v>74</v>
      </c>
      <c r="BP504" t="s">
        <v>74</v>
      </c>
      <c r="BQ504" t="s">
        <v>74</v>
      </c>
      <c r="BR504" t="s">
        <v>101</v>
      </c>
      <c r="BS504" t="s">
        <v>8213</v>
      </c>
      <c r="BT504" t="str">
        <f>HYPERLINK("https%3A%2F%2Fwww.webofscience.com%2Fwos%2Fwoscc%2Ffull-record%2FWOS:000245580500004","View Full Record in Web of Science")</f>
        <v>View Full Record in Web of Science</v>
      </c>
    </row>
    <row r="505" spans="1:72" x14ac:dyDescent="0.15">
      <c r="A505" t="s">
        <v>72</v>
      </c>
      <c r="B505" t="s">
        <v>8214</v>
      </c>
      <c r="C505" t="s">
        <v>74</v>
      </c>
      <c r="D505" t="s">
        <v>74</v>
      </c>
      <c r="E505" t="s">
        <v>74</v>
      </c>
      <c r="F505" t="s">
        <v>8215</v>
      </c>
      <c r="G505" t="s">
        <v>74</v>
      </c>
      <c r="H505" t="s">
        <v>74</v>
      </c>
      <c r="I505" t="s">
        <v>8216</v>
      </c>
      <c r="J505" t="s">
        <v>203</v>
      </c>
      <c r="K505" t="s">
        <v>74</v>
      </c>
      <c r="L505" t="s">
        <v>74</v>
      </c>
      <c r="M505" t="s">
        <v>78</v>
      </c>
      <c r="N505" t="s">
        <v>79</v>
      </c>
      <c r="O505" t="s">
        <v>74</v>
      </c>
      <c r="P505" t="s">
        <v>74</v>
      </c>
      <c r="Q505" t="s">
        <v>74</v>
      </c>
      <c r="R505" t="s">
        <v>74</v>
      </c>
      <c r="S505" t="s">
        <v>74</v>
      </c>
      <c r="T505" t="s">
        <v>74</v>
      </c>
      <c r="U505" t="s">
        <v>8217</v>
      </c>
      <c r="V505" t="s">
        <v>8218</v>
      </c>
      <c r="W505" t="s">
        <v>8219</v>
      </c>
      <c r="X505" t="s">
        <v>8220</v>
      </c>
      <c r="Y505" t="s">
        <v>8221</v>
      </c>
      <c r="Z505" t="s">
        <v>8222</v>
      </c>
      <c r="AA505" t="s">
        <v>8223</v>
      </c>
      <c r="AB505" t="s">
        <v>74</v>
      </c>
      <c r="AC505" t="s">
        <v>74</v>
      </c>
      <c r="AD505" t="s">
        <v>74</v>
      </c>
      <c r="AE505" t="s">
        <v>74</v>
      </c>
      <c r="AF505" t="s">
        <v>74</v>
      </c>
      <c r="AG505">
        <v>53</v>
      </c>
      <c r="AH505">
        <v>32</v>
      </c>
      <c r="AI505">
        <v>35</v>
      </c>
      <c r="AJ505">
        <v>3</v>
      </c>
      <c r="AK505">
        <v>7</v>
      </c>
      <c r="AL505" t="s">
        <v>141</v>
      </c>
      <c r="AM505" t="s">
        <v>142</v>
      </c>
      <c r="AN505" t="s">
        <v>143</v>
      </c>
      <c r="AO505" t="s">
        <v>213</v>
      </c>
      <c r="AP505" t="s">
        <v>214</v>
      </c>
      <c r="AQ505" t="s">
        <v>74</v>
      </c>
      <c r="AR505" t="s">
        <v>215</v>
      </c>
      <c r="AS505" t="s">
        <v>216</v>
      </c>
      <c r="AT505" t="s">
        <v>8224</v>
      </c>
      <c r="AU505">
        <v>2007</v>
      </c>
      <c r="AV505">
        <v>112</v>
      </c>
      <c r="AW505" t="s">
        <v>8069</v>
      </c>
      <c r="AX505" t="s">
        <v>74</v>
      </c>
      <c r="AY505" t="s">
        <v>74</v>
      </c>
      <c r="AZ505" t="s">
        <v>74</v>
      </c>
      <c r="BA505" t="s">
        <v>74</v>
      </c>
      <c r="BB505" t="s">
        <v>74</v>
      </c>
      <c r="BC505" t="s">
        <v>74</v>
      </c>
      <c r="BD505" t="s">
        <v>8225</v>
      </c>
      <c r="BE505" t="s">
        <v>8226</v>
      </c>
      <c r="BF505" t="str">
        <f>HYPERLINK("http://dx.doi.org/10.1029/2006JC003728","http://dx.doi.org/10.1029/2006JC003728")</f>
        <v>http://dx.doi.org/10.1029/2006JC003728</v>
      </c>
      <c r="BG505" t="s">
        <v>74</v>
      </c>
      <c r="BH505" t="s">
        <v>74</v>
      </c>
      <c r="BI505">
        <v>21</v>
      </c>
      <c r="BJ505" t="s">
        <v>221</v>
      </c>
      <c r="BK505" t="s">
        <v>98</v>
      </c>
      <c r="BL505" t="s">
        <v>221</v>
      </c>
      <c r="BM505" t="s">
        <v>8227</v>
      </c>
      <c r="BN505" t="s">
        <v>74</v>
      </c>
      <c r="BO505" t="s">
        <v>3113</v>
      </c>
      <c r="BP505" t="s">
        <v>74</v>
      </c>
      <c r="BQ505" t="s">
        <v>74</v>
      </c>
      <c r="BR505" t="s">
        <v>101</v>
      </c>
      <c r="BS505" t="s">
        <v>8228</v>
      </c>
      <c r="BT505" t="str">
        <f>HYPERLINK("https%3A%2F%2Fwww.webofscience.com%2Fwos%2Fwoscc%2Ffull-record%2FWOS:000245582000004","View Full Record in Web of Science")</f>
        <v>View Full Record in Web of Science</v>
      </c>
    </row>
    <row r="506" spans="1:72" x14ac:dyDescent="0.15">
      <c r="A506" t="s">
        <v>72</v>
      </c>
      <c r="B506" t="s">
        <v>8229</v>
      </c>
      <c r="C506" t="s">
        <v>74</v>
      </c>
      <c r="D506" t="s">
        <v>74</v>
      </c>
      <c r="E506" t="s">
        <v>74</v>
      </c>
      <c r="F506" t="s">
        <v>8230</v>
      </c>
      <c r="G506" t="s">
        <v>74</v>
      </c>
      <c r="H506" t="s">
        <v>74</v>
      </c>
      <c r="I506" t="s">
        <v>8231</v>
      </c>
      <c r="J506" t="s">
        <v>309</v>
      </c>
      <c r="K506" t="s">
        <v>74</v>
      </c>
      <c r="L506" t="s">
        <v>74</v>
      </c>
      <c r="M506" t="s">
        <v>78</v>
      </c>
      <c r="N506" t="s">
        <v>79</v>
      </c>
      <c r="O506" t="s">
        <v>74</v>
      </c>
      <c r="P506" t="s">
        <v>74</v>
      </c>
      <c r="Q506" t="s">
        <v>74</v>
      </c>
      <c r="R506" t="s">
        <v>74</v>
      </c>
      <c r="S506" t="s">
        <v>74</v>
      </c>
      <c r="T506" t="s">
        <v>74</v>
      </c>
      <c r="U506" t="s">
        <v>8232</v>
      </c>
      <c r="V506" t="s">
        <v>8233</v>
      </c>
      <c r="W506" t="s">
        <v>8234</v>
      </c>
      <c r="X506" t="s">
        <v>8235</v>
      </c>
      <c r="Y506" t="s">
        <v>8236</v>
      </c>
      <c r="Z506" t="s">
        <v>8237</v>
      </c>
      <c r="AA506" t="s">
        <v>8238</v>
      </c>
      <c r="AB506" t="s">
        <v>8239</v>
      </c>
      <c r="AC506" t="s">
        <v>74</v>
      </c>
      <c r="AD506" t="s">
        <v>74</v>
      </c>
      <c r="AE506" t="s">
        <v>74</v>
      </c>
      <c r="AF506" t="s">
        <v>74</v>
      </c>
      <c r="AG506">
        <v>36</v>
      </c>
      <c r="AH506">
        <v>50</v>
      </c>
      <c r="AI506">
        <v>57</v>
      </c>
      <c r="AJ506">
        <v>1</v>
      </c>
      <c r="AK506">
        <v>29</v>
      </c>
      <c r="AL506" t="s">
        <v>318</v>
      </c>
      <c r="AM506" t="s">
        <v>142</v>
      </c>
      <c r="AN506" t="s">
        <v>319</v>
      </c>
      <c r="AO506" t="s">
        <v>320</v>
      </c>
      <c r="AP506" t="s">
        <v>74</v>
      </c>
      <c r="AQ506" t="s">
        <v>74</v>
      </c>
      <c r="AR506" t="s">
        <v>309</v>
      </c>
      <c r="AS506" t="s">
        <v>321</v>
      </c>
      <c r="AT506" t="s">
        <v>8224</v>
      </c>
      <c r="AU506">
        <v>2007</v>
      </c>
      <c r="AV506">
        <v>316</v>
      </c>
      <c r="AW506">
        <v>5821</v>
      </c>
      <c r="AX506" t="s">
        <v>74</v>
      </c>
      <c r="AY506" t="s">
        <v>74</v>
      </c>
      <c r="AZ506" t="s">
        <v>74</v>
      </c>
      <c r="BA506" t="s">
        <v>74</v>
      </c>
      <c r="BB506">
        <v>89</v>
      </c>
      <c r="BC506">
        <v>91</v>
      </c>
      <c r="BD506" t="s">
        <v>74</v>
      </c>
      <c r="BE506" t="s">
        <v>8240</v>
      </c>
      <c r="BF506" t="str">
        <f>HYPERLINK("http://dx.doi.org/10.1126/science.1138582","http://dx.doi.org/10.1126/science.1138582")</f>
        <v>http://dx.doi.org/10.1126/science.1138582</v>
      </c>
      <c r="BG506" t="s">
        <v>74</v>
      </c>
      <c r="BH506" t="s">
        <v>74</v>
      </c>
      <c r="BI506">
        <v>3</v>
      </c>
      <c r="BJ506" t="s">
        <v>241</v>
      </c>
      <c r="BK506" t="s">
        <v>98</v>
      </c>
      <c r="BL506" t="s">
        <v>242</v>
      </c>
      <c r="BM506" t="s">
        <v>8241</v>
      </c>
      <c r="BN506">
        <v>17412954</v>
      </c>
      <c r="BO506" t="s">
        <v>74</v>
      </c>
      <c r="BP506" t="s">
        <v>74</v>
      </c>
      <c r="BQ506" t="s">
        <v>74</v>
      </c>
      <c r="BR506" t="s">
        <v>101</v>
      </c>
      <c r="BS506" t="s">
        <v>8242</v>
      </c>
      <c r="BT506" t="str">
        <f>HYPERLINK("https%3A%2F%2Fwww.webofscience.com%2Fwos%2Fwoscc%2Ffull-record%2FWOS:000245470500037","View Full Record in Web of Science")</f>
        <v>View Full Record in Web of Science</v>
      </c>
    </row>
    <row r="507" spans="1:72" x14ac:dyDescent="0.15">
      <c r="A507" t="s">
        <v>72</v>
      </c>
      <c r="B507" t="s">
        <v>8243</v>
      </c>
      <c r="C507" t="s">
        <v>74</v>
      </c>
      <c r="D507" t="s">
        <v>74</v>
      </c>
      <c r="E507" t="s">
        <v>74</v>
      </c>
      <c r="F507" t="s">
        <v>8244</v>
      </c>
      <c r="G507" t="s">
        <v>74</v>
      </c>
      <c r="H507" t="s">
        <v>74</v>
      </c>
      <c r="I507" t="s">
        <v>8245</v>
      </c>
      <c r="J507" t="s">
        <v>8246</v>
      </c>
      <c r="K507" t="s">
        <v>74</v>
      </c>
      <c r="L507" t="s">
        <v>74</v>
      </c>
      <c r="M507" t="s">
        <v>78</v>
      </c>
      <c r="N507" t="s">
        <v>79</v>
      </c>
      <c r="O507" t="s">
        <v>74</v>
      </c>
      <c r="P507" t="s">
        <v>74</v>
      </c>
      <c r="Q507" t="s">
        <v>74</v>
      </c>
      <c r="R507" t="s">
        <v>74</v>
      </c>
      <c r="S507" t="s">
        <v>74</v>
      </c>
      <c r="T507" t="s">
        <v>74</v>
      </c>
      <c r="U507" t="s">
        <v>8247</v>
      </c>
      <c r="V507" t="s">
        <v>8248</v>
      </c>
      <c r="W507" t="s">
        <v>8249</v>
      </c>
      <c r="X507" t="s">
        <v>8250</v>
      </c>
      <c r="Y507" t="s">
        <v>8251</v>
      </c>
      <c r="Z507" t="s">
        <v>8252</v>
      </c>
      <c r="AA507" t="s">
        <v>8253</v>
      </c>
      <c r="AB507" t="s">
        <v>8254</v>
      </c>
      <c r="AC507" t="s">
        <v>74</v>
      </c>
      <c r="AD507" t="s">
        <v>74</v>
      </c>
      <c r="AE507" t="s">
        <v>74</v>
      </c>
      <c r="AF507" t="s">
        <v>74</v>
      </c>
      <c r="AG507">
        <v>54</v>
      </c>
      <c r="AH507">
        <v>44</v>
      </c>
      <c r="AI507">
        <v>45</v>
      </c>
      <c r="AJ507">
        <v>0</v>
      </c>
      <c r="AK507">
        <v>10</v>
      </c>
      <c r="AL507" t="s">
        <v>141</v>
      </c>
      <c r="AM507" t="s">
        <v>142</v>
      </c>
      <c r="AN507" t="s">
        <v>143</v>
      </c>
      <c r="AO507" t="s">
        <v>8255</v>
      </c>
      <c r="AP507" t="s">
        <v>8256</v>
      </c>
      <c r="AQ507" t="s">
        <v>74</v>
      </c>
      <c r="AR507" t="s">
        <v>8257</v>
      </c>
      <c r="AS507" t="s">
        <v>8258</v>
      </c>
      <c r="AT507" t="s">
        <v>8259</v>
      </c>
      <c r="AU507">
        <v>2007</v>
      </c>
      <c r="AV507">
        <v>112</v>
      </c>
      <c r="AW507" t="s">
        <v>8260</v>
      </c>
      <c r="AX507" t="s">
        <v>74</v>
      </c>
      <c r="AY507" t="s">
        <v>74</v>
      </c>
      <c r="AZ507" t="s">
        <v>74</v>
      </c>
      <c r="BA507" t="s">
        <v>74</v>
      </c>
      <c r="BB507" t="s">
        <v>74</v>
      </c>
      <c r="BC507" t="s">
        <v>74</v>
      </c>
      <c r="BD507" t="s">
        <v>8261</v>
      </c>
      <c r="BE507" t="s">
        <v>8262</v>
      </c>
      <c r="BF507" t="str">
        <f>HYPERLINK("http://dx.doi.org/10.1029/2006JG000244","http://dx.doi.org/10.1029/2006JG000244")</f>
        <v>http://dx.doi.org/10.1029/2006JG000244</v>
      </c>
      <c r="BG507" t="s">
        <v>74</v>
      </c>
      <c r="BH507" t="s">
        <v>74</v>
      </c>
      <c r="BI507">
        <v>9</v>
      </c>
      <c r="BJ507" t="s">
        <v>8263</v>
      </c>
      <c r="BK507" t="s">
        <v>98</v>
      </c>
      <c r="BL507" t="s">
        <v>8264</v>
      </c>
      <c r="BM507" t="s">
        <v>8265</v>
      </c>
      <c r="BN507" t="s">
        <v>74</v>
      </c>
      <c r="BO507" t="s">
        <v>74</v>
      </c>
      <c r="BP507" t="s">
        <v>74</v>
      </c>
      <c r="BQ507" t="s">
        <v>74</v>
      </c>
      <c r="BR507" t="s">
        <v>101</v>
      </c>
      <c r="BS507" t="s">
        <v>8266</v>
      </c>
      <c r="BT507" t="str">
        <f>HYPERLINK("https%3A%2F%2Fwww.webofscience.com%2Fwos%2Fwoscc%2Ffull-record%2FWOS:000245581100001","View Full Record in Web of Science")</f>
        <v>View Full Record in Web of Science</v>
      </c>
    </row>
    <row r="508" spans="1:72" x14ac:dyDescent="0.15">
      <c r="A508" t="s">
        <v>72</v>
      </c>
      <c r="B508" t="s">
        <v>8267</v>
      </c>
      <c r="C508" t="s">
        <v>74</v>
      </c>
      <c r="D508" t="s">
        <v>74</v>
      </c>
      <c r="E508" t="s">
        <v>74</v>
      </c>
      <c r="F508" t="s">
        <v>8268</v>
      </c>
      <c r="G508" t="s">
        <v>74</v>
      </c>
      <c r="H508" t="s">
        <v>74</v>
      </c>
      <c r="I508" t="s">
        <v>8269</v>
      </c>
      <c r="J508" t="s">
        <v>492</v>
      </c>
      <c r="K508" t="s">
        <v>74</v>
      </c>
      <c r="L508" t="s">
        <v>74</v>
      </c>
      <c r="M508" t="s">
        <v>78</v>
      </c>
      <c r="N508" t="s">
        <v>79</v>
      </c>
      <c r="O508" t="s">
        <v>74</v>
      </c>
      <c r="P508" t="s">
        <v>74</v>
      </c>
      <c r="Q508" t="s">
        <v>74</v>
      </c>
      <c r="R508" t="s">
        <v>74</v>
      </c>
      <c r="S508" t="s">
        <v>74</v>
      </c>
      <c r="T508" t="s">
        <v>8270</v>
      </c>
      <c r="U508" t="s">
        <v>8271</v>
      </c>
      <c r="V508" t="s">
        <v>8272</v>
      </c>
      <c r="W508" t="s">
        <v>8273</v>
      </c>
      <c r="X508" t="s">
        <v>8274</v>
      </c>
      <c r="Y508" t="s">
        <v>8275</v>
      </c>
      <c r="Z508" t="s">
        <v>8276</v>
      </c>
      <c r="AA508" t="s">
        <v>8277</v>
      </c>
      <c r="AB508" t="s">
        <v>8278</v>
      </c>
      <c r="AC508" t="s">
        <v>74</v>
      </c>
      <c r="AD508" t="s">
        <v>74</v>
      </c>
      <c r="AE508" t="s">
        <v>74</v>
      </c>
      <c r="AF508" t="s">
        <v>74</v>
      </c>
      <c r="AG508">
        <v>35</v>
      </c>
      <c r="AH508">
        <v>4</v>
      </c>
      <c r="AI508">
        <v>4</v>
      </c>
      <c r="AJ508">
        <v>0</v>
      </c>
      <c r="AK508">
        <v>3</v>
      </c>
      <c r="AL508" t="s">
        <v>500</v>
      </c>
      <c r="AM508" t="s">
        <v>501</v>
      </c>
      <c r="AN508" t="s">
        <v>502</v>
      </c>
      <c r="AO508" t="s">
        <v>503</v>
      </c>
      <c r="AP508" t="s">
        <v>504</v>
      </c>
      <c r="AQ508" t="s">
        <v>74</v>
      </c>
      <c r="AR508" t="s">
        <v>492</v>
      </c>
      <c r="AS508" t="s">
        <v>505</v>
      </c>
      <c r="AT508" t="s">
        <v>8259</v>
      </c>
      <c r="AU508">
        <v>2007</v>
      </c>
      <c r="AV508" t="s">
        <v>74</v>
      </c>
      <c r="AW508">
        <v>1440</v>
      </c>
      <c r="AX508" t="s">
        <v>74</v>
      </c>
      <c r="AY508" t="s">
        <v>74</v>
      </c>
      <c r="AZ508" t="s">
        <v>74</v>
      </c>
      <c r="BA508" t="s">
        <v>74</v>
      </c>
      <c r="BB508">
        <v>51</v>
      </c>
      <c r="BC508">
        <v>59</v>
      </c>
      <c r="BD508" t="s">
        <v>74</v>
      </c>
      <c r="BE508" t="s">
        <v>8279</v>
      </c>
      <c r="BF508" t="str">
        <f>HYPERLINK("http://dx.doi.org/10.11646/zootaxa.1440.1.4","http://dx.doi.org/10.11646/zootaxa.1440.1.4")</f>
        <v>http://dx.doi.org/10.11646/zootaxa.1440.1.4</v>
      </c>
      <c r="BG508" t="s">
        <v>74</v>
      </c>
      <c r="BH508" t="s">
        <v>74</v>
      </c>
      <c r="BI508">
        <v>9</v>
      </c>
      <c r="BJ508" t="s">
        <v>507</v>
      </c>
      <c r="BK508" t="s">
        <v>98</v>
      </c>
      <c r="BL508" t="s">
        <v>507</v>
      </c>
      <c r="BM508" t="s">
        <v>8280</v>
      </c>
      <c r="BN508" t="s">
        <v>74</v>
      </c>
      <c r="BO508" t="s">
        <v>74</v>
      </c>
      <c r="BP508" t="s">
        <v>74</v>
      </c>
      <c r="BQ508" t="s">
        <v>74</v>
      </c>
      <c r="BR508" t="s">
        <v>101</v>
      </c>
      <c r="BS508" t="s">
        <v>8281</v>
      </c>
      <c r="BT508" t="str">
        <f>HYPERLINK("https%3A%2F%2Fwww.webofscience.com%2Fwos%2Fwoscc%2Ffull-record%2FWOS:000245487400004","View Full Record in Web of Science")</f>
        <v>View Full Record in Web of Science</v>
      </c>
    </row>
    <row r="509" spans="1:72" x14ac:dyDescent="0.15">
      <c r="A509" t="s">
        <v>72</v>
      </c>
      <c r="B509" t="s">
        <v>8282</v>
      </c>
      <c r="C509" t="s">
        <v>74</v>
      </c>
      <c r="D509" t="s">
        <v>74</v>
      </c>
      <c r="E509" t="s">
        <v>74</v>
      </c>
      <c r="F509" t="s">
        <v>8283</v>
      </c>
      <c r="G509" t="s">
        <v>74</v>
      </c>
      <c r="H509" t="s">
        <v>74</v>
      </c>
      <c r="I509" t="s">
        <v>8284</v>
      </c>
      <c r="J509" t="s">
        <v>8285</v>
      </c>
      <c r="K509" t="s">
        <v>74</v>
      </c>
      <c r="L509" t="s">
        <v>74</v>
      </c>
      <c r="M509" t="s">
        <v>78</v>
      </c>
      <c r="N509" t="s">
        <v>79</v>
      </c>
      <c r="O509" t="s">
        <v>74</v>
      </c>
      <c r="P509" t="s">
        <v>74</v>
      </c>
      <c r="Q509" t="s">
        <v>74</v>
      </c>
      <c r="R509" t="s">
        <v>74</v>
      </c>
      <c r="S509" t="s">
        <v>74</v>
      </c>
      <c r="T509" t="s">
        <v>8286</v>
      </c>
      <c r="U509" t="s">
        <v>8287</v>
      </c>
      <c r="V509" t="s">
        <v>8288</v>
      </c>
      <c r="W509" t="s">
        <v>8289</v>
      </c>
      <c r="X509" t="s">
        <v>8290</v>
      </c>
      <c r="Y509" t="s">
        <v>8291</v>
      </c>
      <c r="Z509" t="s">
        <v>8292</v>
      </c>
      <c r="AA509" t="s">
        <v>74</v>
      </c>
      <c r="AB509" t="s">
        <v>74</v>
      </c>
      <c r="AC509" t="s">
        <v>74</v>
      </c>
      <c r="AD509" t="s">
        <v>74</v>
      </c>
      <c r="AE509" t="s">
        <v>74</v>
      </c>
      <c r="AF509" t="s">
        <v>74</v>
      </c>
      <c r="AG509">
        <v>51</v>
      </c>
      <c r="AH509">
        <v>45</v>
      </c>
      <c r="AI509">
        <v>49</v>
      </c>
      <c r="AJ509">
        <v>1</v>
      </c>
      <c r="AK509">
        <v>21</v>
      </c>
      <c r="AL509" t="s">
        <v>8293</v>
      </c>
      <c r="AM509" t="s">
        <v>8294</v>
      </c>
      <c r="AN509" t="s">
        <v>8295</v>
      </c>
      <c r="AO509" t="s">
        <v>8296</v>
      </c>
      <c r="AP509" t="s">
        <v>8297</v>
      </c>
      <c r="AQ509" t="s">
        <v>74</v>
      </c>
      <c r="AR509" t="s">
        <v>8298</v>
      </c>
      <c r="AS509" t="s">
        <v>8299</v>
      </c>
      <c r="AT509" t="s">
        <v>8300</v>
      </c>
      <c r="AU509">
        <v>2007</v>
      </c>
      <c r="AV509">
        <v>47</v>
      </c>
      <c r="AW509">
        <v>1</v>
      </c>
      <c r="AX509" t="s">
        <v>74</v>
      </c>
      <c r="AY509" t="s">
        <v>74</v>
      </c>
      <c r="AZ509" t="s">
        <v>74</v>
      </c>
      <c r="BA509" t="s">
        <v>74</v>
      </c>
      <c r="BB509">
        <v>11</v>
      </c>
      <c r="BC509">
        <v>23</v>
      </c>
      <c r="BD509" t="s">
        <v>74</v>
      </c>
      <c r="BE509" t="s">
        <v>8301</v>
      </c>
      <c r="BF509" t="str">
        <f>HYPERLINK("http://dx.doi.org/10.3354/ame047011","http://dx.doi.org/10.3354/ame047011")</f>
        <v>http://dx.doi.org/10.3354/ame047011</v>
      </c>
      <c r="BG509" t="s">
        <v>74</v>
      </c>
      <c r="BH509" t="s">
        <v>74</v>
      </c>
      <c r="BI509">
        <v>13</v>
      </c>
      <c r="BJ509" t="s">
        <v>8302</v>
      </c>
      <c r="BK509" t="s">
        <v>98</v>
      </c>
      <c r="BL509" t="s">
        <v>8303</v>
      </c>
      <c r="BM509" t="s">
        <v>8304</v>
      </c>
      <c r="BN509" t="s">
        <v>74</v>
      </c>
      <c r="BO509" t="s">
        <v>154</v>
      </c>
      <c r="BP509" t="s">
        <v>74</v>
      </c>
      <c r="BQ509" t="s">
        <v>74</v>
      </c>
      <c r="BR509" t="s">
        <v>101</v>
      </c>
      <c r="BS509" t="s">
        <v>8305</v>
      </c>
      <c r="BT509" t="str">
        <f>HYPERLINK("https%3A%2F%2Fwww.webofscience.com%2Fwos%2Fwoscc%2Ffull-record%2FWOS:000246081700002","View Full Record in Web of Science")</f>
        <v>View Full Record in Web of Science</v>
      </c>
    </row>
    <row r="510" spans="1:72" x14ac:dyDescent="0.15">
      <c r="A510" t="s">
        <v>72</v>
      </c>
      <c r="B510" t="s">
        <v>8306</v>
      </c>
      <c r="C510" t="s">
        <v>74</v>
      </c>
      <c r="D510" t="s">
        <v>74</v>
      </c>
      <c r="E510" t="s">
        <v>74</v>
      </c>
      <c r="F510" t="s">
        <v>8307</v>
      </c>
      <c r="G510" t="s">
        <v>74</v>
      </c>
      <c r="H510" t="s">
        <v>74</v>
      </c>
      <c r="I510" t="s">
        <v>8308</v>
      </c>
      <c r="J510" t="s">
        <v>8309</v>
      </c>
      <c r="K510" t="s">
        <v>74</v>
      </c>
      <c r="L510" t="s">
        <v>74</v>
      </c>
      <c r="M510" t="s">
        <v>78</v>
      </c>
      <c r="N510" t="s">
        <v>229</v>
      </c>
      <c r="O510" t="s">
        <v>74</v>
      </c>
      <c r="P510" t="s">
        <v>74</v>
      </c>
      <c r="Q510" t="s">
        <v>74</v>
      </c>
      <c r="R510" t="s">
        <v>74</v>
      </c>
      <c r="S510" t="s">
        <v>74</v>
      </c>
      <c r="T510" t="s">
        <v>74</v>
      </c>
      <c r="U510" t="s">
        <v>74</v>
      </c>
      <c r="V510" t="s">
        <v>74</v>
      </c>
      <c r="W510" t="s">
        <v>74</v>
      </c>
      <c r="X510" t="s">
        <v>74</v>
      </c>
      <c r="Y510" t="s">
        <v>74</v>
      </c>
      <c r="Z510" t="s">
        <v>74</v>
      </c>
      <c r="AA510" t="s">
        <v>74</v>
      </c>
      <c r="AB510" t="s">
        <v>74</v>
      </c>
      <c r="AC510" t="s">
        <v>74</v>
      </c>
      <c r="AD510" t="s">
        <v>74</v>
      </c>
      <c r="AE510" t="s">
        <v>74</v>
      </c>
      <c r="AF510" t="s">
        <v>74</v>
      </c>
      <c r="AG510">
        <v>0</v>
      </c>
      <c r="AH510">
        <v>0</v>
      </c>
      <c r="AI510">
        <v>0</v>
      </c>
      <c r="AJ510">
        <v>0</v>
      </c>
      <c r="AK510">
        <v>0</v>
      </c>
      <c r="AL510" t="s">
        <v>8310</v>
      </c>
      <c r="AM510" t="s">
        <v>788</v>
      </c>
      <c r="AN510" t="s">
        <v>8311</v>
      </c>
      <c r="AO510" t="s">
        <v>8312</v>
      </c>
      <c r="AP510" t="s">
        <v>74</v>
      </c>
      <c r="AQ510" t="s">
        <v>74</v>
      </c>
      <c r="AR510" t="s">
        <v>8313</v>
      </c>
      <c r="AS510" t="s">
        <v>8314</v>
      </c>
      <c r="AT510" t="s">
        <v>8300</v>
      </c>
      <c r="AU510">
        <v>2007</v>
      </c>
      <c r="AV510">
        <v>17</v>
      </c>
      <c r="AW510">
        <v>7</v>
      </c>
      <c r="AX510" t="s">
        <v>74</v>
      </c>
      <c r="AY510" t="s">
        <v>74</v>
      </c>
      <c r="AZ510" t="s">
        <v>74</v>
      </c>
      <c r="BA510" t="s">
        <v>74</v>
      </c>
      <c r="BB510" t="s">
        <v>8315</v>
      </c>
      <c r="BC510" t="s">
        <v>8316</v>
      </c>
      <c r="BD510" t="s">
        <v>74</v>
      </c>
      <c r="BE510" t="s">
        <v>8317</v>
      </c>
      <c r="BF510" t="str">
        <f>HYPERLINK("http://dx.doi.org/10.1016/j.cub.2007.03.026","http://dx.doi.org/10.1016/j.cub.2007.03.026")</f>
        <v>http://dx.doi.org/10.1016/j.cub.2007.03.026</v>
      </c>
      <c r="BG510" t="s">
        <v>74</v>
      </c>
      <c r="BH510" t="s">
        <v>74</v>
      </c>
      <c r="BI510">
        <v>2</v>
      </c>
      <c r="BJ510" t="s">
        <v>8318</v>
      </c>
      <c r="BK510" t="s">
        <v>98</v>
      </c>
      <c r="BL510" t="s">
        <v>8319</v>
      </c>
      <c r="BM510" t="s">
        <v>8320</v>
      </c>
      <c r="BN510" t="s">
        <v>74</v>
      </c>
      <c r="BO510" t="s">
        <v>577</v>
      </c>
      <c r="BP510" t="s">
        <v>74</v>
      </c>
      <c r="BQ510" t="s">
        <v>74</v>
      </c>
      <c r="BR510" t="s">
        <v>101</v>
      </c>
      <c r="BS510" t="s">
        <v>8321</v>
      </c>
      <c r="BT510" t="str">
        <f>HYPERLINK("https%3A%2F%2Fwww.webofscience.com%2Fwos%2Fwoscc%2Ffull-record%2FWOS:000245572200002","View Full Record in Web of Science")</f>
        <v>View Full Record in Web of Science</v>
      </c>
    </row>
    <row r="511" spans="1:72" x14ac:dyDescent="0.15">
      <c r="A511" t="s">
        <v>72</v>
      </c>
      <c r="B511" t="s">
        <v>8322</v>
      </c>
      <c r="C511" t="s">
        <v>74</v>
      </c>
      <c r="D511" t="s">
        <v>74</v>
      </c>
      <c r="E511" t="s">
        <v>74</v>
      </c>
      <c r="F511" t="s">
        <v>8323</v>
      </c>
      <c r="G511" t="s">
        <v>74</v>
      </c>
      <c r="H511" t="s">
        <v>74</v>
      </c>
      <c r="I511" t="s">
        <v>8324</v>
      </c>
      <c r="J511" t="s">
        <v>470</v>
      </c>
      <c r="K511" t="s">
        <v>74</v>
      </c>
      <c r="L511" t="s">
        <v>74</v>
      </c>
      <c r="M511" t="s">
        <v>78</v>
      </c>
      <c r="N511" t="s">
        <v>79</v>
      </c>
      <c r="O511" t="s">
        <v>74</v>
      </c>
      <c r="P511" t="s">
        <v>74</v>
      </c>
      <c r="Q511" t="s">
        <v>74</v>
      </c>
      <c r="R511" t="s">
        <v>74</v>
      </c>
      <c r="S511" t="s">
        <v>74</v>
      </c>
      <c r="T511" t="s">
        <v>74</v>
      </c>
      <c r="U511" t="s">
        <v>8325</v>
      </c>
      <c r="V511" t="s">
        <v>8326</v>
      </c>
      <c r="W511" t="s">
        <v>8327</v>
      </c>
      <c r="X511" t="s">
        <v>8328</v>
      </c>
      <c r="Y511" t="s">
        <v>8329</v>
      </c>
      <c r="Z511" t="s">
        <v>8330</v>
      </c>
      <c r="AA511" t="s">
        <v>8331</v>
      </c>
      <c r="AB511" t="s">
        <v>8332</v>
      </c>
      <c r="AC511" t="s">
        <v>74</v>
      </c>
      <c r="AD511" t="s">
        <v>74</v>
      </c>
      <c r="AE511" t="s">
        <v>74</v>
      </c>
      <c r="AF511" t="s">
        <v>74</v>
      </c>
      <c r="AG511">
        <v>44</v>
      </c>
      <c r="AH511">
        <v>177</v>
      </c>
      <c r="AI511">
        <v>200</v>
      </c>
      <c r="AJ511">
        <v>1</v>
      </c>
      <c r="AK511">
        <v>48</v>
      </c>
      <c r="AL511" t="s">
        <v>481</v>
      </c>
      <c r="AM511" t="s">
        <v>142</v>
      </c>
      <c r="AN511" t="s">
        <v>482</v>
      </c>
      <c r="AO511" t="s">
        <v>483</v>
      </c>
      <c r="AP511" t="s">
        <v>74</v>
      </c>
      <c r="AQ511" t="s">
        <v>74</v>
      </c>
      <c r="AR511" t="s">
        <v>484</v>
      </c>
      <c r="AS511" t="s">
        <v>485</v>
      </c>
      <c r="AT511" t="s">
        <v>8300</v>
      </c>
      <c r="AU511">
        <v>2007</v>
      </c>
      <c r="AV511">
        <v>104</v>
      </c>
      <c r="AW511">
        <v>14</v>
      </c>
      <c r="AX511" t="s">
        <v>74</v>
      </c>
      <c r="AY511" t="s">
        <v>74</v>
      </c>
      <c r="AZ511" t="s">
        <v>74</v>
      </c>
      <c r="BA511" t="s">
        <v>74</v>
      </c>
      <c r="BB511">
        <v>5743</v>
      </c>
      <c r="BC511">
        <v>5748</v>
      </c>
      <c r="BD511" t="s">
        <v>74</v>
      </c>
      <c r="BE511" t="s">
        <v>8333</v>
      </c>
      <c r="BF511" t="str">
        <f>HYPERLINK("http://dx.doi.org/10.1073/pnas.0607657104","http://dx.doi.org/10.1073/pnas.0607657104")</f>
        <v>http://dx.doi.org/10.1073/pnas.0607657104</v>
      </c>
      <c r="BG511" t="s">
        <v>74</v>
      </c>
      <c r="BH511" t="s">
        <v>74</v>
      </c>
      <c r="BI511">
        <v>6</v>
      </c>
      <c r="BJ511" t="s">
        <v>241</v>
      </c>
      <c r="BK511" t="s">
        <v>98</v>
      </c>
      <c r="BL511" t="s">
        <v>242</v>
      </c>
      <c r="BM511" t="s">
        <v>8334</v>
      </c>
      <c r="BN511">
        <v>17389397</v>
      </c>
      <c r="BO511" t="s">
        <v>304</v>
      </c>
      <c r="BP511" t="s">
        <v>74</v>
      </c>
      <c r="BQ511" t="s">
        <v>74</v>
      </c>
      <c r="BR511" t="s">
        <v>101</v>
      </c>
      <c r="BS511" t="s">
        <v>8335</v>
      </c>
      <c r="BT511" t="str">
        <f>HYPERLINK("https%3A%2F%2Fwww.webofscience.com%2Fwos%2Fwoscc%2Ffull-record%2FWOS:000245657600010","View Full Record in Web of Science")</f>
        <v>View Full Record in Web of Science</v>
      </c>
    </row>
    <row r="512" spans="1:72" x14ac:dyDescent="0.15">
      <c r="A512" t="s">
        <v>72</v>
      </c>
      <c r="B512" t="s">
        <v>8336</v>
      </c>
      <c r="C512" t="s">
        <v>74</v>
      </c>
      <c r="D512" t="s">
        <v>74</v>
      </c>
      <c r="E512" t="s">
        <v>74</v>
      </c>
      <c r="F512" t="s">
        <v>8337</v>
      </c>
      <c r="G512" t="s">
        <v>74</v>
      </c>
      <c r="H512" t="s">
        <v>74</v>
      </c>
      <c r="I512" t="s">
        <v>8338</v>
      </c>
      <c r="J512" t="s">
        <v>8339</v>
      </c>
      <c r="K512" t="s">
        <v>74</v>
      </c>
      <c r="L512" t="s">
        <v>74</v>
      </c>
      <c r="M512" t="s">
        <v>78</v>
      </c>
      <c r="N512" t="s">
        <v>79</v>
      </c>
      <c r="O512" t="s">
        <v>74</v>
      </c>
      <c r="P512" t="s">
        <v>74</v>
      </c>
      <c r="Q512" t="s">
        <v>74</v>
      </c>
      <c r="R512" t="s">
        <v>74</v>
      </c>
      <c r="S512" t="s">
        <v>74</v>
      </c>
      <c r="T512" t="s">
        <v>8340</v>
      </c>
      <c r="U512" t="s">
        <v>8341</v>
      </c>
      <c r="V512" t="s">
        <v>8342</v>
      </c>
      <c r="W512" t="s">
        <v>8343</v>
      </c>
      <c r="X512" t="s">
        <v>8344</v>
      </c>
      <c r="Y512" t="s">
        <v>8345</v>
      </c>
      <c r="Z512" t="s">
        <v>8346</v>
      </c>
      <c r="AA512" t="s">
        <v>8347</v>
      </c>
      <c r="AB512" t="s">
        <v>8348</v>
      </c>
      <c r="AC512" t="s">
        <v>74</v>
      </c>
      <c r="AD512" t="s">
        <v>74</v>
      </c>
      <c r="AE512" t="s">
        <v>74</v>
      </c>
      <c r="AF512" t="s">
        <v>74</v>
      </c>
      <c r="AG512">
        <v>16</v>
      </c>
      <c r="AH512">
        <v>5</v>
      </c>
      <c r="AI512">
        <v>6</v>
      </c>
      <c r="AJ512">
        <v>0</v>
      </c>
      <c r="AK512">
        <v>1</v>
      </c>
      <c r="AL512" t="s">
        <v>8349</v>
      </c>
      <c r="AM512" t="s">
        <v>4075</v>
      </c>
      <c r="AN512" t="s">
        <v>8350</v>
      </c>
      <c r="AO512" t="s">
        <v>8351</v>
      </c>
      <c r="AP512" t="s">
        <v>74</v>
      </c>
      <c r="AQ512" t="s">
        <v>74</v>
      </c>
      <c r="AR512" t="s">
        <v>8352</v>
      </c>
      <c r="AS512" t="s">
        <v>8353</v>
      </c>
      <c r="AT512" t="s">
        <v>8354</v>
      </c>
      <c r="AU512">
        <v>2007</v>
      </c>
      <c r="AV512">
        <v>50</v>
      </c>
      <c r="AW512">
        <v>2</v>
      </c>
      <c r="AX512" t="s">
        <v>74</v>
      </c>
      <c r="AY512" t="s">
        <v>74</v>
      </c>
      <c r="AZ512" t="s">
        <v>74</v>
      </c>
      <c r="BA512" t="s">
        <v>74</v>
      </c>
      <c r="BB512">
        <v>225</v>
      </c>
      <c r="BC512">
        <v>232</v>
      </c>
      <c r="BD512" t="s">
        <v>74</v>
      </c>
      <c r="BE512" t="s">
        <v>74</v>
      </c>
      <c r="BF512" t="s">
        <v>74</v>
      </c>
      <c r="BG512" t="s">
        <v>74</v>
      </c>
      <c r="BH512" t="s">
        <v>74</v>
      </c>
      <c r="BI512">
        <v>8</v>
      </c>
      <c r="BJ512" t="s">
        <v>688</v>
      </c>
      <c r="BK512" t="s">
        <v>98</v>
      </c>
      <c r="BL512" t="s">
        <v>688</v>
      </c>
      <c r="BM512" t="s">
        <v>8355</v>
      </c>
      <c r="BN512" t="s">
        <v>74</v>
      </c>
      <c r="BO512" t="s">
        <v>74</v>
      </c>
      <c r="BP512" t="s">
        <v>74</v>
      </c>
      <c r="BQ512" t="s">
        <v>74</v>
      </c>
      <c r="BR512" t="s">
        <v>101</v>
      </c>
      <c r="BS512" t="s">
        <v>8356</v>
      </c>
      <c r="BT512" t="str">
        <f>HYPERLINK("https%3A%2F%2Fwww.webofscience.com%2Fwos%2Fwoscc%2Ffull-record%2FWOS:000250613800008","View Full Record in Web of Science")</f>
        <v>View Full Record in Web of Science</v>
      </c>
    </row>
    <row r="513" spans="1:72" x14ac:dyDescent="0.15">
      <c r="A513" t="s">
        <v>72</v>
      </c>
      <c r="B513" t="s">
        <v>8357</v>
      </c>
      <c r="C513" t="s">
        <v>74</v>
      </c>
      <c r="D513" t="s">
        <v>74</v>
      </c>
      <c r="E513" t="s">
        <v>74</v>
      </c>
      <c r="F513" t="s">
        <v>8358</v>
      </c>
      <c r="G513" t="s">
        <v>74</v>
      </c>
      <c r="H513" t="s">
        <v>74</v>
      </c>
      <c r="I513" t="s">
        <v>8359</v>
      </c>
      <c r="J513" t="s">
        <v>1450</v>
      </c>
      <c r="K513" t="s">
        <v>74</v>
      </c>
      <c r="L513" t="s">
        <v>74</v>
      </c>
      <c r="M513" t="s">
        <v>78</v>
      </c>
      <c r="N513" t="s">
        <v>248</v>
      </c>
      <c r="O513" t="s">
        <v>74</v>
      </c>
      <c r="P513" t="s">
        <v>74</v>
      </c>
      <c r="Q513" t="s">
        <v>74</v>
      </c>
      <c r="R513" t="s">
        <v>74</v>
      </c>
      <c r="S513" t="s">
        <v>74</v>
      </c>
      <c r="T513" t="s">
        <v>8360</v>
      </c>
      <c r="U513" t="s">
        <v>8361</v>
      </c>
      <c r="V513" t="s">
        <v>8362</v>
      </c>
      <c r="W513" t="s">
        <v>8363</v>
      </c>
      <c r="X513" t="s">
        <v>8364</v>
      </c>
      <c r="Y513" t="s">
        <v>8365</v>
      </c>
      <c r="Z513" t="s">
        <v>8366</v>
      </c>
      <c r="AA513" t="s">
        <v>8367</v>
      </c>
      <c r="AB513" t="s">
        <v>8368</v>
      </c>
      <c r="AC513" t="s">
        <v>74</v>
      </c>
      <c r="AD513" t="s">
        <v>74</v>
      </c>
      <c r="AE513" t="s">
        <v>74</v>
      </c>
      <c r="AF513" t="s">
        <v>74</v>
      </c>
      <c r="AG513">
        <v>172</v>
      </c>
      <c r="AH513">
        <v>175</v>
      </c>
      <c r="AI513">
        <v>211</v>
      </c>
      <c r="AJ513">
        <v>2</v>
      </c>
      <c r="AK513">
        <v>114</v>
      </c>
      <c r="AL513" t="s">
        <v>1459</v>
      </c>
      <c r="AM513" t="s">
        <v>1460</v>
      </c>
      <c r="AN513" t="s">
        <v>1461</v>
      </c>
      <c r="AO513" t="s">
        <v>1462</v>
      </c>
      <c r="AP513" t="s">
        <v>1463</v>
      </c>
      <c r="AQ513" t="s">
        <v>74</v>
      </c>
      <c r="AR513" t="s">
        <v>1450</v>
      </c>
      <c r="AS513" t="s">
        <v>1464</v>
      </c>
      <c r="AT513" t="s">
        <v>8354</v>
      </c>
      <c r="AU513">
        <v>2007</v>
      </c>
      <c r="AV513">
        <v>7</v>
      </c>
      <c r="AW513">
        <v>2</v>
      </c>
      <c r="AX513" t="s">
        <v>74</v>
      </c>
      <c r="AY513" t="s">
        <v>74</v>
      </c>
      <c r="AZ513" t="s">
        <v>74</v>
      </c>
      <c r="BA513" t="s">
        <v>74</v>
      </c>
      <c r="BB513">
        <v>275</v>
      </c>
      <c r="BC513">
        <v>311</v>
      </c>
      <c r="BD513" t="s">
        <v>74</v>
      </c>
      <c r="BE513" t="s">
        <v>8369</v>
      </c>
      <c r="BF513" t="str">
        <f>HYPERLINK("http://dx.doi.org/10.1089/ast.2006.0012","http://dx.doi.org/10.1089/ast.2006.0012")</f>
        <v>http://dx.doi.org/10.1089/ast.2006.0012</v>
      </c>
      <c r="BG513" t="s">
        <v>74</v>
      </c>
      <c r="BH513" t="s">
        <v>74</v>
      </c>
      <c r="BI513">
        <v>37</v>
      </c>
      <c r="BJ513" t="s">
        <v>1466</v>
      </c>
      <c r="BK513" t="s">
        <v>98</v>
      </c>
      <c r="BL513" t="s">
        <v>1467</v>
      </c>
      <c r="BM513" t="s">
        <v>8370</v>
      </c>
      <c r="BN513">
        <v>17480161</v>
      </c>
      <c r="BO513" t="s">
        <v>74</v>
      </c>
      <c r="BP513" t="s">
        <v>74</v>
      </c>
      <c r="BQ513" t="s">
        <v>74</v>
      </c>
      <c r="BR513" t="s">
        <v>101</v>
      </c>
      <c r="BS513" t="s">
        <v>8371</v>
      </c>
      <c r="BT513" t="str">
        <f>HYPERLINK("https%3A%2F%2Fwww.webofscience.com%2Fwos%2Fwoscc%2Ffull-record%2FWOS:000246680700001","View Full Record in Web of Science")</f>
        <v>View Full Record in Web of Science</v>
      </c>
    </row>
    <row r="514" spans="1:72" x14ac:dyDescent="0.15">
      <c r="A514" t="s">
        <v>72</v>
      </c>
      <c r="B514" t="s">
        <v>8372</v>
      </c>
      <c r="C514" t="s">
        <v>74</v>
      </c>
      <c r="D514" t="s">
        <v>74</v>
      </c>
      <c r="E514" t="s">
        <v>74</v>
      </c>
      <c r="F514" t="s">
        <v>8373</v>
      </c>
      <c r="G514" t="s">
        <v>74</v>
      </c>
      <c r="H514" t="s">
        <v>74</v>
      </c>
      <c r="I514" t="s">
        <v>8374</v>
      </c>
      <c r="J514" t="s">
        <v>8375</v>
      </c>
      <c r="K514" t="s">
        <v>74</v>
      </c>
      <c r="L514" t="s">
        <v>74</v>
      </c>
      <c r="M514" t="s">
        <v>78</v>
      </c>
      <c r="N514" t="s">
        <v>79</v>
      </c>
      <c r="O514" t="s">
        <v>74</v>
      </c>
      <c r="P514" t="s">
        <v>74</v>
      </c>
      <c r="Q514" t="s">
        <v>74</v>
      </c>
      <c r="R514" t="s">
        <v>74</v>
      </c>
      <c r="S514" t="s">
        <v>74</v>
      </c>
      <c r="T514" t="s">
        <v>8376</v>
      </c>
      <c r="U514" t="s">
        <v>74</v>
      </c>
      <c r="V514" t="s">
        <v>8377</v>
      </c>
      <c r="W514" t="s">
        <v>8378</v>
      </c>
      <c r="X514" t="s">
        <v>8379</v>
      </c>
      <c r="Y514" t="s">
        <v>8380</v>
      </c>
      <c r="Z514" t="s">
        <v>8381</v>
      </c>
      <c r="AA514" t="s">
        <v>74</v>
      </c>
      <c r="AB514" t="s">
        <v>8382</v>
      </c>
      <c r="AC514" t="s">
        <v>74</v>
      </c>
      <c r="AD514" t="s">
        <v>74</v>
      </c>
      <c r="AE514" t="s">
        <v>74</v>
      </c>
      <c r="AF514" t="s">
        <v>74</v>
      </c>
      <c r="AG514">
        <v>8</v>
      </c>
      <c r="AH514">
        <v>1</v>
      </c>
      <c r="AI514">
        <v>1</v>
      </c>
      <c r="AJ514">
        <v>1</v>
      </c>
      <c r="AK514">
        <v>4</v>
      </c>
      <c r="AL514" t="s">
        <v>8383</v>
      </c>
      <c r="AM514" t="s">
        <v>8384</v>
      </c>
      <c r="AN514" t="s">
        <v>8385</v>
      </c>
      <c r="AO514" t="s">
        <v>8386</v>
      </c>
      <c r="AP514" t="s">
        <v>74</v>
      </c>
      <c r="AQ514" t="s">
        <v>74</v>
      </c>
      <c r="AR514" t="s">
        <v>8375</v>
      </c>
      <c r="AS514" t="s">
        <v>8387</v>
      </c>
      <c r="AT514" t="s">
        <v>8388</v>
      </c>
      <c r="AU514">
        <v>2007</v>
      </c>
      <c r="AV514">
        <v>20</v>
      </c>
      <c r="AW514">
        <v>2</v>
      </c>
      <c r="AX514" t="s">
        <v>74</v>
      </c>
      <c r="AY514" t="s">
        <v>74</v>
      </c>
      <c r="AZ514" t="s">
        <v>74</v>
      </c>
      <c r="BA514" t="s">
        <v>74</v>
      </c>
      <c r="BB514">
        <v>215</v>
      </c>
      <c r="BC514">
        <v>221</v>
      </c>
      <c r="BD514" t="s">
        <v>74</v>
      </c>
      <c r="BE514" t="s">
        <v>74</v>
      </c>
      <c r="BF514" t="s">
        <v>74</v>
      </c>
      <c r="BG514" t="s">
        <v>74</v>
      </c>
      <c r="BH514" t="s">
        <v>74</v>
      </c>
      <c r="BI514">
        <v>7</v>
      </c>
      <c r="BJ514" t="s">
        <v>435</v>
      </c>
      <c r="BK514" t="s">
        <v>98</v>
      </c>
      <c r="BL514" t="s">
        <v>435</v>
      </c>
      <c r="BM514" t="s">
        <v>8389</v>
      </c>
      <c r="BN514" t="s">
        <v>74</v>
      </c>
      <c r="BO514" t="s">
        <v>74</v>
      </c>
      <c r="BP514" t="s">
        <v>74</v>
      </c>
      <c r="BQ514" t="s">
        <v>74</v>
      </c>
      <c r="BR514" t="s">
        <v>101</v>
      </c>
      <c r="BS514" t="s">
        <v>8390</v>
      </c>
      <c r="BT514" t="str">
        <f>HYPERLINK("https%3A%2F%2Fwww.webofscience.com%2Fwos%2Fwoscc%2Ffull-record%2FWOS:000246568900006","View Full Record in Web of Science")</f>
        <v>View Full Record in Web of Science</v>
      </c>
    </row>
    <row r="515" spans="1:72" x14ac:dyDescent="0.15">
      <c r="A515" t="s">
        <v>72</v>
      </c>
      <c r="B515" t="s">
        <v>8391</v>
      </c>
      <c r="C515" t="s">
        <v>74</v>
      </c>
      <c r="D515" t="s">
        <v>74</v>
      </c>
      <c r="E515" t="s">
        <v>74</v>
      </c>
      <c r="F515" t="s">
        <v>8392</v>
      </c>
      <c r="G515" t="s">
        <v>74</v>
      </c>
      <c r="H515" t="s">
        <v>74</v>
      </c>
      <c r="I515" t="s">
        <v>8393</v>
      </c>
      <c r="J515" t="s">
        <v>8394</v>
      </c>
      <c r="K515" t="s">
        <v>74</v>
      </c>
      <c r="L515" t="s">
        <v>74</v>
      </c>
      <c r="M515" t="s">
        <v>78</v>
      </c>
      <c r="N515" t="s">
        <v>79</v>
      </c>
      <c r="O515" t="s">
        <v>74</v>
      </c>
      <c r="P515" t="s">
        <v>74</v>
      </c>
      <c r="Q515" t="s">
        <v>74</v>
      </c>
      <c r="R515" t="s">
        <v>74</v>
      </c>
      <c r="S515" t="s">
        <v>74</v>
      </c>
      <c r="T515" t="s">
        <v>74</v>
      </c>
      <c r="U515" t="s">
        <v>8395</v>
      </c>
      <c r="V515" t="s">
        <v>8396</v>
      </c>
      <c r="W515" t="s">
        <v>8397</v>
      </c>
      <c r="X515" t="s">
        <v>8398</v>
      </c>
      <c r="Y515" t="s">
        <v>8399</v>
      </c>
      <c r="Z515" t="s">
        <v>7555</v>
      </c>
      <c r="AA515" t="s">
        <v>4217</v>
      </c>
      <c r="AB515" t="s">
        <v>8400</v>
      </c>
      <c r="AC515" t="s">
        <v>74</v>
      </c>
      <c r="AD515" t="s">
        <v>74</v>
      </c>
      <c r="AE515" t="s">
        <v>74</v>
      </c>
      <c r="AF515" t="s">
        <v>74</v>
      </c>
      <c r="AG515">
        <v>14</v>
      </c>
      <c r="AH515">
        <v>5</v>
      </c>
      <c r="AI515">
        <v>7</v>
      </c>
      <c r="AJ515">
        <v>0</v>
      </c>
      <c r="AK515">
        <v>3</v>
      </c>
      <c r="AL515" t="s">
        <v>1225</v>
      </c>
      <c r="AM515" t="s">
        <v>1226</v>
      </c>
      <c r="AN515" t="s">
        <v>8401</v>
      </c>
      <c r="AO515" t="s">
        <v>8402</v>
      </c>
      <c r="AP515" t="s">
        <v>74</v>
      </c>
      <c r="AQ515" t="s">
        <v>74</v>
      </c>
      <c r="AR515" t="s">
        <v>8403</v>
      </c>
      <c r="AS515" t="s">
        <v>8404</v>
      </c>
      <c r="AT515" t="s">
        <v>8354</v>
      </c>
      <c r="AU515">
        <v>2007</v>
      </c>
      <c r="AV515">
        <v>36</v>
      </c>
      <c r="AW515">
        <v>2</v>
      </c>
      <c r="AX515" t="s">
        <v>74</v>
      </c>
      <c r="AY515" t="s">
        <v>74</v>
      </c>
      <c r="AZ515" t="s">
        <v>74</v>
      </c>
      <c r="BA515" t="s">
        <v>74</v>
      </c>
      <c r="BB515">
        <v>101</v>
      </c>
      <c r="BC515">
        <v>107</v>
      </c>
      <c r="BD515" t="s">
        <v>74</v>
      </c>
      <c r="BE515" t="s">
        <v>8405</v>
      </c>
      <c r="BF515" t="str">
        <f>HYPERLINK("http://dx.doi.org/10.1080/03079450601142570","http://dx.doi.org/10.1080/03079450601142570")</f>
        <v>http://dx.doi.org/10.1080/03079450601142570</v>
      </c>
      <c r="BG515" t="s">
        <v>74</v>
      </c>
      <c r="BH515" t="s">
        <v>74</v>
      </c>
      <c r="BI515">
        <v>7</v>
      </c>
      <c r="BJ515" t="s">
        <v>3928</v>
      </c>
      <c r="BK515" t="s">
        <v>98</v>
      </c>
      <c r="BL515" t="s">
        <v>3928</v>
      </c>
      <c r="BM515" t="s">
        <v>8406</v>
      </c>
      <c r="BN515">
        <v>17479369</v>
      </c>
      <c r="BO515" t="s">
        <v>74</v>
      </c>
      <c r="BP515" t="s">
        <v>74</v>
      </c>
      <c r="BQ515" t="s">
        <v>74</v>
      </c>
      <c r="BR515" t="s">
        <v>101</v>
      </c>
      <c r="BS515" t="s">
        <v>8407</v>
      </c>
      <c r="BT515" t="str">
        <f>HYPERLINK("https%3A%2F%2Fwww.webofscience.com%2Fwos%2Fwoscc%2Ffull-record%2FWOS:000245986500003","View Full Record in Web of Science")</f>
        <v>View Full Record in Web of Science</v>
      </c>
    </row>
    <row r="516" spans="1:72" x14ac:dyDescent="0.15">
      <c r="A516" t="s">
        <v>72</v>
      </c>
      <c r="B516" t="s">
        <v>8408</v>
      </c>
      <c r="C516" t="s">
        <v>74</v>
      </c>
      <c r="D516" t="s">
        <v>74</v>
      </c>
      <c r="E516" t="s">
        <v>74</v>
      </c>
      <c r="F516" t="s">
        <v>8409</v>
      </c>
      <c r="G516" t="s">
        <v>74</v>
      </c>
      <c r="H516" t="s">
        <v>74</v>
      </c>
      <c r="I516" t="s">
        <v>8410</v>
      </c>
      <c r="J516" t="s">
        <v>8411</v>
      </c>
      <c r="K516" t="s">
        <v>74</v>
      </c>
      <c r="L516" t="s">
        <v>74</v>
      </c>
      <c r="M516" t="s">
        <v>78</v>
      </c>
      <c r="N516" t="s">
        <v>79</v>
      </c>
      <c r="O516" t="s">
        <v>74</v>
      </c>
      <c r="P516" t="s">
        <v>74</v>
      </c>
      <c r="Q516" t="s">
        <v>74</v>
      </c>
      <c r="R516" t="s">
        <v>74</v>
      </c>
      <c r="S516" t="s">
        <v>74</v>
      </c>
      <c r="T516" t="s">
        <v>74</v>
      </c>
      <c r="U516" t="s">
        <v>8412</v>
      </c>
      <c r="V516" t="s">
        <v>8413</v>
      </c>
      <c r="W516" t="s">
        <v>8414</v>
      </c>
      <c r="X516" t="s">
        <v>8415</v>
      </c>
      <c r="Y516" t="s">
        <v>8416</v>
      </c>
      <c r="Z516" t="s">
        <v>8417</v>
      </c>
      <c r="AA516" t="s">
        <v>74</v>
      </c>
      <c r="AB516" t="s">
        <v>74</v>
      </c>
      <c r="AC516" t="s">
        <v>74</v>
      </c>
      <c r="AD516" t="s">
        <v>74</v>
      </c>
      <c r="AE516" t="s">
        <v>74</v>
      </c>
      <c r="AF516" t="s">
        <v>74</v>
      </c>
      <c r="AG516">
        <v>81</v>
      </c>
      <c r="AH516">
        <v>30</v>
      </c>
      <c r="AI516">
        <v>37</v>
      </c>
      <c r="AJ516">
        <v>1</v>
      </c>
      <c r="AK516">
        <v>17</v>
      </c>
      <c r="AL516" t="s">
        <v>875</v>
      </c>
      <c r="AM516" t="s">
        <v>876</v>
      </c>
      <c r="AN516" t="s">
        <v>877</v>
      </c>
      <c r="AO516" t="s">
        <v>8418</v>
      </c>
      <c r="AP516" t="s">
        <v>8419</v>
      </c>
      <c r="AQ516" t="s">
        <v>74</v>
      </c>
      <c r="AR516" t="s">
        <v>8420</v>
      </c>
      <c r="AS516" t="s">
        <v>8421</v>
      </c>
      <c r="AT516" t="s">
        <v>8354</v>
      </c>
      <c r="AU516">
        <v>2007</v>
      </c>
      <c r="AV516">
        <v>212</v>
      </c>
      <c r="AW516">
        <v>2</v>
      </c>
      <c r="AX516" t="s">
        <v>74</v>
      </c>
      <c r="AY516" t="s">
        <v>74</v>
      </c>
      <c r="AZ516" t="s">
        <v>74</v>
      </c>
      <c r="BA516" t="s">
        <v>74</v>
      </c>
      <c r="BB516">
        <v>115</v>
      </c>
      <c r="BC516">
        <v>129</v>
      </c>
      <c r="BD516" t="s">
        <v>74</v>
      </c>
      <c r="BE516" t="s">
        <v>8422</v>
      </c>
      <c r="BF516" t="str">
        <f>HYPERLINK("http://dx.doi.org/10.2307/25066589","http://dx.doi.org/10.2307/25066589")</f>
        <v>http://dx.doi.org/10.2307/25066589</v>
      </c>
      <c r="BG516" t="s">
        <v>74</v>
      </c>
      <c r="BH516" t="s">
        <v>74</v>
      </c>
      <c r="BI516">
        <v>15</v>
      </c>
      <c r="BJ516" t="s">
        <v>8423</v>
      </c>
      <c r="BK516" t="s">
        <v>98</v>
      </c>
      <c r="BL516" t="s">
        <v>8424</v>
      </c>
      <c r="BM516" t="s">
        <v>8425</v>
      </c>
      <c r="BN516">
        <v>17438204</v>
      </c>
      <c r="BO516" t="s">
        <v>74</v>
      </c>
      <c r="BP516" t="s">
        <v>74</v>
      </c>
      <c r="BQ516" t="s">
        <v>74</v>
      </c>
      <c r="BR516" t="s">
        <v>101</v>
      </c>
      <c r="BS516" t="s">
        <v>8426</v>
      </c>
      <c r="BT516" t="str">
        <f>HYPERLINK("https%3A%2F%2Fwww.webofscience.com%2Fwos%2Fwoscc%2Ffull-record%2FWOS:000245933600004","View Full Record in Web of Science")</f>
        <v>View Full Record in Web of Science</v>
      </c>
    </row>
    <row r="517" spans="1:72" x14ac:dyDescent="0.15">
      <c r="A517" t="s">
        <v>72</v>
      </c>
      <c r="B517" t="s">
        <v>8427</v>
      </c>
      <c r="C517" t="s">
        <v>74</v>
      </c>
      <c r="D517" t="s">
        <v>74</v>
      </c>
      <c r="E517" t="s">
        <v>74</v>
      </c>
      <c r="F517" t="s">
        <v>8428</v>
      </c>
      <c r="G517" t="s">
        <v>74</v>
      </c>
      <c r="H517" t="s">
        <v>74</v>
      </c>
      <c r="I517" t="s">
        <v>8429</v>
      </c>
      <c r="J517" t="s">
        <v>5162</v>
      </c>
      <c r="K517" t="s">
        <v>74</v>
      </c>
      <c r="L517" t="s">
        <v>74</v>
      </c>
      <c r="M517" t="s">
        <v>78</v>
      </c>
      <c r="N517" t="s">
        <v>620</v>
      </c>
      <c r="O517" t="s">
        <v>74</v>
      </c>
      <c r="P517" t="s">
        <v>74</v>
      </c>
      <c r="Q517" t="s">
        <v>74</v>
      </c>
      <c r="R517" t="s">
        <v>74</v>
      </c>
      <c r="S517" t="s">
        <v>74</v>
      </c>
      <c r="T517" t="s">
        <v>74</v>
      </c>
      <c r="U517" t="s">
        <v>74</v>
      </c>
      <c r="V517" t="s">
        <v>74</v>
      </c>
      <c r="W517" t="s">
        <v>8430</v>
      </c>
      <c r="X517" t="s">
        <v>8431</v>
      </c>
      <c r="Y517" t="s">
        <v>8432</v>
      </c>
      <c r="Z517" t="s">
        <v>8433</v>
      </c>
      <c r="AA517" t="s">
        <v>8434</v>
      </c>
      <c r="AB517" t="s">
        <v>8435</v>
      </c>
      <c r="AC517" t="s">
        <v>8436</v>
      </c>
      <c r="AD517" t="s">
        <v>361</v>
      </c>
      <c r="AE517" t="s">
        <v>74</v>
      </c>
      <c r="AF517" t="s">
        <v>74</v>
      </c>
      <c r="AG517">
        <v>10</v>
      </c>
      <c r="AH517">
        <v>8</v>
      </c>
      <c r="AI517">
        <v>10</v>
      </c>
      <c r="AJ517">
        <v>0</v>
      </c>
      <c r="AK517">
        <v>8</v>
      </c>
      <c r="AL517" t="s">
        <v>567</v>
      </c>
      <c r="AM517" t="s">
        <v>568</v>
      </c>
      <c r="AN517" t="s">
        <v>569</v>
      </c>
      <c r="AO517" t="s">
        <v>5167</v>
      </c>
      <c r="AP517" t="s">
        <v>5168</v>
      </c>
      <c r="AQ517" t="s">
        <v>74</v>
      </c>
      <c r="AR517" t="s">
        <v>5169</v>
      </c>
      <c r="AS517" t="s">
        <v>5170</v>
      </c>
      <c r="AT517" t="s">
        <v>8354</v>
      </c>
      <c r="AU517">
        <v>2007</v>
      </c>
      <c r="AV517">
        <v>88</v>
      </c>
      <c r="AW517">
        <v>4</v>
      </c>
      <c r="AX517" t="s">
        <v>74</v>
      </c>
      <c r="AY517" t="s">
        <v>74</v>
      </c>
      <c r="AZ517" t="s">
        <v>74</v>
      </c>
      <c r="BA517" t="s">
        <v>74</v>
      </c>
      <c r="BB517">
        <v>559</v>
      </c>
      <c r="BC517">
        <v>564</v>
      </c>
      <c r="BD517" t="s">
        <v>74</v>
      </c>
      <c r="BE517" t="s">
        <v>8437</v>
      </c>
      <c r="BF517" t="str">
        <f>HYPERLINK("http://dx.doi.org/10.1175/BAMS-88-4-559","http://dx.doi.org/10.1175/BAMS-88-4-559")</f>
        <v>http://dx.doi.org/10.1175/BAMS-88-4-559</v>
      </c>
      <c r="BG517" t="s">
        <v>74</v>
      </c>
      <c r="BH517" t="s">
        <v>74</v>
      </c>
      <c r="BI517">
        <v>6</v>
      </c>
      <c r="BJ517" t="s">
        <v>435</v>
      </c>
      <c r="BK517" t="s">
        <v>98</v>
      </c>
      <c r="BL517" t="s">
        <v>435</v>
      </c>
      <c r="BM517" t="s">
        <v>8438</v>
      </c>
      <c r="BN517" t="s">
        <v>74</v>
      </c>
      <c r="BO517" t="s">
        <v>74</v>
      </c>
      <c r="BP517" t="s">
        <v>74</v>
      </c>
      <c r="BQ517" t="s">
        <v>74</v>
      </c>
      <c r="BR517" t="s">
        <v>101</v>
      </c>
      <c r="BS517" t="s">
        <v>8439</v>
      </c>
      <c r="BT517" t="str">
        <f>HYPERLINK("https%3A%2F%2Fwww.webofscience.com%2Fwos%2Fwoscc%2Ffull-record%2FWOS:000246133800018","View Full Record in Web of Science")</f>
        <v>View Full Record in Web of Science</v>
      </c>
    </row>
    <row r="518" spans="1:72" x14ac:dyDescent="0.15">
      <c r="A518" t="s">
        <v>72</v>
      </c>
      <c r="B518" t="s">
        <v>8440</v>
      </c>
      <c r="C518" t="s">
        <v>74</v>
      </c>
      <c r="D518" t="s">
        <v>74</v>
      </c>
      <c r="E518" t="s">
        <v>74</v>
      </c>
      <c r="F518" t="s">
        <v>8441</v>
      </c>
      <c r="G518" t="s">
        <v>74</v>
      </c>
      <c r="H518" t="s">
        <v>74</v>
      </c>
      <c r="I518" t="s">
        <v>8442</v>
      </c>
      <c r="J518" t="s">
        <v>8443</v>
      </c>
      <c r="K518" t="s">
        <v>74</v>
      </c>
      <c r="L518" t="s">
        <v>74</v>
      </c>
      <c r="M518" t="s">
        <v>78</v>
      </c>
      <c r="N518" t="s">
        <v>79</v>
      </c>
      <c r="O518" t="s">
        <v>74</v>
      </c>
      <c r="P518" t="s">
        <v>74</v>
      </c>
      <c r="Q518" t="s">
        <v>74</v>
      </c>
      <c r="R518" t="s">
        <v>74</v>
      </c>
      <c r="S518" t="s">
        <v>74</v>
      </c>
      <c r="T518" t="s">
        <v>74</v>
      </c>
      <c r="U518" t="s">
        <v>8444</v>
      </c>
      <c r="V518" t="s">
        <v>8445</v>
      </c>
      <c r="W518" t="s">
        <v>8446</v>
      </c>
      <c r="X518" t="s">
        <v>870</v>
      </c>
      <c r="Y518" t="s">
        <v>8447</v>
      </c>
      <c r="Z518" t="s">
        <v>8448</v>
      </c>
      <c r="AA518" t="s">
        <v>8449</v>
      </c>
      <c r="AB518" t="s">
        <v>8450</v>
      </c>
      <c r="AC518" t="s">
        <v>74</v>
      </c>
      <c r="AD518" t="s">
        <v>74</v>
      </c>
      <c r="AE518" t="s">
        <v>74</v>
      </c>
      <c r="AF518" t="s">
        <v>74</v>
      </c>
      <c r="AG518">
        <v>50</v>
      </c>
      <c r="AH518">
        <v>9</v>
      </c>
      <c r="AI518">
        <v>10</v>
      </c>
      <c r="AJ518">
        <v>0</v>
      </c>
      <c r="AK518">
        <v>9</v>
      </c>
      <c r="AL518" t="s">
        <v>7145</v>
      </c>
      <c r="AM518" t="s">
        <v>7146</v>
      </c>
      <c r="AN518" t="s">
        <v>7147</v>
      </c>
      <c r="AO518" t="s">
        <v>8451</v>
      </c>
      <c r="AP518" t="s">
        <v>8452</v>
      </c>
      <c r="AQ518" t="s">
        <v>74</v>
      </c>
      <c r="AR518" t="s">
        <v>8453</v>
      </c>
      <c r="AS518" t="s">
        <v>8454</v>
      </c>
      <c r="AT518" t="s">
        <v>8354</v>
      </c>
      <c r="AU518">
        <v>2007</v>
      </c>
      <c r="AV518">
        <v>85</v>
      </c>
      <c r="AW518">
        <v>4</v>
      </c>
      <c r="AX518" t="s">
        <v>74</v>
      </c>
      <c r="AY518" t="s">
        <v>74</v>
      </c>
      <c r="AZ518" t="s">
        <v>74</v>
      </c>
      <c r="BA518" t="s">
        <v>74</v>
      </c>
      <c r="BB518">
        <v>488</v>
      </c>
      <c r="BC518">
        <v>496</v>
      </c>
      <c r="BD518" t="s">
        <v>74</v>
      </c>
      <c r="BE518" t="s">
        <v>8455</v>
      </c>
      <c r="BF518" t="str">
        <f>HYPERLINK("http://dx.doi.org/10.1139/Z07-029","http://dx.doi.org/10.1139/Z07-029")</f>
        <v>http://dx.doi.org/10.1139/Z07-029</v>
      </c>
      <c r="BG518" t="s">
        <v>74</v>
      </c>
      <c r="BH518" t="s">
        <v>74</v>
      </c>
      <c r="BI518">
        <v>9</v>
      </c>
      <c r="BJ518" t="s">
        <v>507</v>
      </c>
      <c r="BK518" t="s">
        <v>98</v>
      </c>
      <c r="BL518" t="s">
        <v>507</v>
      </c>
      <c r="BM518" t="s">
        <v>8456</v>
      </c>
      <c r="BN518" t="s">
        <v>74</v>
      </c>
      <c r="BO518" t="s">
        <v>74</v>
      </c>
      <c r="BP518" t="s">
        <v>74</v>
      </c>
      <c r="BQ518" t="s">
        <v>74</v>
      </c>
      <c r="BR518" t="s">
        <v>101</v>
      </c>
      <c r="BS518" t="s">
        <v>8457</v>
      </c>
      <c r="BT518" t="str">
        <f>HYPERLINK("https%3A%2F%2Fwww.webofscience.com%2Fwos%2Fwoscc%2Ffull-record%2FWOS:000247602300006","View Full Record in Web of Science")</f>
        <v>View Full Record in Web of Science</v>
      </c>
    </row>
    <row r="519" spans="1:72" x14ac:dyDescent="0.15">
      <c r="A519" t="s">
        <v>72</v>
      </c>
      <c r="B519" t="s">
        <v>8458</v>
      </c>
      <c r="C519" t="s">
        <v>74</v>
      </c>
      <c r="D519" t="s">
        <v>74</v>
      </c>
      <c r="E519" t="s">
        <v>74</v>
      </c>
      <c r="F519" t="s">
        <v>8459</v>
      </c>
      <c r="G519" t="s">
        <v>74</v>
      </c>
      <c r="H519" t="s">
        <v>74</v>
      </c>
      <c r="I519" t="s">
        <v>8460</v>
      </c>
      <c r="J519" t="s">
        <v>1629</v>
      </c>
      <c r="K519" t="s">
        <v>74</v>
      </c>
      <c r="L519" t="s">
        <v>74</v>
      </c>
      <c r="M519" t="s">
        <v>78</v>
      </c>
      <c r="N519" t="s">
        <v>79</v>
      </c>
      <c r="O519" t="s">
        <v>74</v>
      </c>
      <c r="P519" t="s">
        <v>74</v>
      </c>
      <c r="Q519" t="s">
        <v>74</v>
      </c>
      <c r="R519" t="s">
        <v>74</v>
      </c>
      <c r="S519" t="s">
        <v>74</v>
      </c>
      <c r="T519" t="s">
        <v>8461</v>
      </c>
      <c r="U519" t="s">
        <v>8462</v>
      </c>
      <c r="V519" t="s">
        <v>8463</v>
      </c>
      <c r="W519" t="s">
        <v>8464</v>
      </c>
      <c r="X519" t="s">
        <v>8465</v>
      </c>
      <c r="Y519" t="s">
        <v>8466</v>
      </c>
      <c r="Z519" t="s">
        <v>8467</v>
      </c>
      <c r="AA519" t="s">
        <v>74</v>
      </c>
      <c r="AB519" t="s">
        <v>8468</v>
      </c>
      <c r="AC519" t="s">
        <v>74</v>
      </c>
      <c r="AD519" t="s">
        <v>74</v>
      </c>
      <c r="AE519" t="s">
        <v>74</v>
      </c>
      <c r="AF519" t="s">
        <v>74</v>
      </c>
      <c r="AG519">
        <v>48</v>
      </c>
      <c r="AH519">
        <v>37</v>
      </c>
      <c r="AI519">
        <v>38</v>
      </c>
      <c r="AJ519">
        <v>0</v>
      </c>
      <c r="AK519">
        <v>2</v>
      </c>
      <c r="AL519" t="s">
        <v>1639</v>
      </c>
      <c r="AM519" t="s">
        <v>1593</v>
      </c>
      <c r="AN519" t="s">
        <v>3448</v>
      </c>
      <c r="AO519" t="s">
        <v>1641</v>
      </c>
      <c r="AP519" t="s">
        <v>3449</v>
      </c>
      <c r="AQ519" t="s">
        <v>74</v>
      </c>
      <c r="AR519" t="s">
        <v>1642</v>
      </c>
      <c r="AS519" t="s">
        <v>1643</v>
      </c>
      <c r="AT519" t="s">
        <v>8354</v>
      </c>
      <c r="AU519">
        <v>2007</v>
      </c>
      <c r="AV519">
        <v>146</v>
      </c>
      <c r="AW519">
        <v>4</v>
      </c>
      <c r="AX519" t="s">
        <v>74</v>
      </c>
      <c r="AY519" t="s">
        <v>74</v>
      </c>
      <c r="AZ519" t="s">
        <v>74</v>
      </c>
      <c r="BA519" t="s">
        <v>74</v>
      </c>
      <c r="BB519">
        <v>551</v>
      </c>
      <c r="BC519">
        <v>558</v>
      </c>
      <c r="BD519" t="s">
        <v>74</v>
      </c>
      <c r="BE519" t="s">
        <v>8469</v>
      </c>
      <c r="BF519" t="str">
        <f>HYPERLINK("http://dx.doi.org/10.1016/j.cbpa.2006.01.029","http://dx.doi.org/10.1016/j.cbpa.2006.01.029")</f>
        <v>http://dx.doi.org/10.1016/j.cbpa.2006.01.029</v>
      </c>
      <c r="BG519" t="s">
        <v>74</v>
      </c>
      <c r="BH519" t="s">
        <v>74</v>
      </c>
      <c r="BI519">
        <v>8</v>
      </c>
      <c r="BJ519" t="s">
        <v>1645</v>
      </c>
      <c r="BK519" t="s">
        <v>98</v>
      </c>
      <c r="BL519" t="s">
        <v>1645</v>
      </c>
      <c r="BM519" t="s">
        <v>8470</v>
      </c>
      <c r="BN519">
        <v>16516513</v>
      </c>
      <c r="BO519" t="s">
        <v>198</v>
      </c>
      <c r="BP519" t="s">
        <v>74</v>
      </c>
      <c r="BQ519" t="s">
        <v>74</v>
      </c>
      <c r="BR519" t="s">
        <v>101</v>
      </c>
      <c r="BS519" t="s">
        <v>8471</v>
      </c>
      <c r="BT519" t="str">
        <f>HYPERLINK("https%3A%2F%2Fwww.webofscience.com%2Fwos%2Fwoscc%2Ffull-record%2FWOS:000245735500012","View Full Record in Web of Science")</f>
        <v>View Full Record in Web of Science</v>
      </c>
    </row>
    <row r="520" spans="1:72" x14ac:dyDescent="0.15">
      <c r="A520" t="s">
        <v>72</v>
      </c>
      <c r="B520" t="s">
        <v>8472</v>
      </c>
      <c r="C520" t="s">
        <v>74</v>
      </c>
      <c r="D520" t="s">
        <v>74</v>
      </c>
      <c r="E520" t="s">
        <v>74</v>
      </c>
      <c r="F520" t="s">
        <v>8473</v>
      </c>
      <c r="G520" t="s">
        <v>74</v>
      </c>
      <c r="H520" t="s">
        <v>74</v>
      </c>
      <c r="I520" t="s">
        <v>8474</v>
      </c>
      <c r="J520" t="s">
        <v>1629</v>
      </c>
      <c r="K520" t="s">
        <v>74</v>
      </c>
      <c r="L520" t="s">
        <v>74</v>
      </c>
      <c r="M520" t="s">
        <v>78</v>
      </c>
      <c r="N520" t="s">
        <v>52</v>
      </c>
      <c r="O520" t="s">
        <v>74</v>
      </c>
      <c r="P520" t="s">
        <v>74</v>
      </c>
      <c r="Q520" t="s">
        <v>74</v>
      </c>
      <c r="R520" t="s">
        <v>74</v>
      </c>
      <c r="S520" t="s">
        <v>74</v>
      </c>
      <c r="T520" t="s">
        <v>74</v>
      </c>
      <c r="U520" t="s">
        <v>74</v>
      </c>
      <c r="V520" t="s">
        <v>74</v>
      </c>
      <c r="W520" t="s">
        <v>74</v>
      </c>
      <c r="X520" t="s">
        <v>74</v>
      </c>
      <c r="Y520" t="s">
        <v>74</v>
      </c>
      <c r="Z520" t="s">
        <v>74</v>
      </c>
      <c r="AA520" t="s">
        <v>8475</v>
      </c>
      <c r="AB520" t="s">
        <v>74</v>
      </c>
      <c r="AC520" t="s">
        <v>74</v>
      </c>
      <c r="AD520" t="s">
        <v>74</v>
      </c>
      <c r="AE520" t="s">
        <v>74</v>
      </c>
      <c r="AF520" t="s">
        <v>74</v>
      </c>
      <c r="AG520">
        <v>0</v>
      </c>
      <c r="AH520">
        <v>0</v>
      </c>
      <c r="AI520">
        <v>0</v>
      </c>
      <c r="AJ520">
        <v>0</v>
      </c>
      <c r="AK520">
        <v>3</v>
      </c>
      <c r="AL520" t="s">
        <v>1639</v>
      </c>
      <c r="AM520" t="s">
        <v>1593</v>
      </c>
      <c r="AN520" t="s">
        <v>1640</v>
      </c>
      <c r="AO520" t="s">
        <v>1641</v>
      </c>
      <c r="AP520" t="s">
        <v>74</v>
      </c>
      <c r="AQ520" t="s">
        <v>74</v>
      </c>
      <c r="AR520" t="s">
        <v>1642</v>
      </c>
      <c r="AS520" t="s">
        <v>1643</v>
      </c>
      <c r="AT520" t="s">
        <v>8354</v>
      </c>
      <c r="AU520">
        <v>2007</v>
      </c>
      <c r="AV520">
        <v>146</v>
      </c>
      <c r="AW520">
        <v>4</v>
      </c>
      <c r="AX520" t="s">
        <v>74</v>
      </c>
      <c r="AY520" t="s">
        <v>1778</v>
      </c>
      <c r="AZ520" t="s">
        <v>74</v>
      </c>
      <c r="BA520">
        <v>10</v>
      </c>
      <c r="BB520" t="s">
        <v>8476</v>
      </c>
      <c r="BC520" t="s">
        <v>8476</v>
      </c>
      <c r="BD520" t="s">
        <v>74</v>
      </c>
      <c r="BE520" t="s">
        <v>8477</v>
      </c>
      <c r="BF520" t="str">
        <f>HYPERLINK("http://dx.doi.org/10.1016/j.cbpa.2007.01.531","http://dx.doi.org/10.1016/j.cbpa.2007.01.531")</f>
        <v>http://dx.doi.org/10.1016/j.cbpa.2007.01.531</v>
      </c>
      <c r="BG520" t="s">
        <v>74</v>
      </c>
      <c r="BH520" t="s">
        <v>74</v>
      </c>
      <c r="BI520">
        <v>1</v>
      </c>
      <c r="BJ520" t="s">
        <v>1645</v>
      </c>
      <c r="BK520" t="s">
        <v>98</v>
      </c>
      <c r="BL520" t="s">
        <v>1645</v>
      </c>
      <c r="BM520" t="s">
        <v>8478</v>
      </c>
      <c r="BN520" t="s">
        <v>74</v>
      </c>
      <c r="BO520" t="s">
        <v>74</v>
      </c>
      <c r="BP520" t="s">
        <v>74</v>
      </c>
      <c r="BQ520" t="s">
        <v>74</v>
      </c>
      <c r="BR520" t="s">
        <v>101</v>
      </c>
      <c r="BS520" t="s">
        <v>8479</v>
      </c>
      <c r="BT520" t="str">
        <f>HYPERLINK("https%3A%2F%2Fwww.webofscience.com%2Fwos%2Fwoscc%2Ffull-record%2FWOS:000245748600403","View Full Record in Web of Science")</f>
        <v>View Full Record in Web of Science</v>
      </c>
    </row>
    <row r="521" spans="1:72" x14ac:dyDescent="0.15">
      <c r="A521" t="s">
        <v>72</v>
      </c>
      <c r="B521" t="s">
        <v>8480</v>
      </c>
      <c r="C521" t="s">
        <v>74</v>
      </c>
      <c r="D521" t="s">
        <v>74</v>
      </c>
      <c r="E521" t="s">
        <v>74</v>
      </c>
      <c r="F521" t="s">
        <v>8481</v>
      </c>
      <c r="G521" t="s">
        <v>74</v>
      </c>
      <c r="H521" t="s">
        <v>74</v>
      </c>
      <c r="I521" t="s">
        <v>8482</v>
      </c>
      <c r="J521" t="s">
        <v>1629</v>
      </c>
      <c r="K521" t="s">
        <v>74</v>
      </c>
      <c r="L521" t="s">
        <v>74</v>
      </c>
      <c r="M521" t="s">
        <v>78</v>
      </c>
      <c r="N521" t="s">
        <v>52</v>
      </c>
      <c r="O521" t="s">
        <v>74</v>
      </c>
      <c r="P521" t="s">
        <v>74</v>
      </c>
      <c r="Q521" t="s">
        <v>74</v>
      </c>
      <c r="R521" t="s">
        <v>74</v>
      </c>
      <c r="S521" t="s">
        <v>74</v>
      </c>
      <c r="T521" t="s">
        <v>74</v>
      </c>
      <c r="U521" t="s">
        <v>74</v>
      </c>
      <c r="V521" t="s">
        <v>74</v>
      </c>
      <c r="W521" t="s">
        <v>74</v>
      </c>
      <c r="X521" t="s">
        <v>74</v>
      </c>
      <c r="Y521" t="s">
        <v>74</v>
      </c>
      <c r="Z521" t="s">
        <v>74</v>
      </c>
      <c r="AA521" t="s">
        <v>74</v>
      </c>
      <c r="AB521" t="s">
        <v>74</v>
      </c>
      <c r="AC521" t="s">
        <v>74</v>
      </c>
      <c r="AD521" t="s">
        <v>74</v>
      </c>
      <c r="AE521" t="s">
        <v>74</v>
      </c>
      <c r="AF521" t="s">
        <v>74</v>
      </c>
      <c r="AG521">
        <v>0</v>
      </c>
      <c r="AH521">
        <v>0</v>
      </c>
      <c r="AI521">
        <v>0</v>
      </c>
      <c r="AJ521">
        <v>0</v>
      </c>
      <c r="AK521">
        <v>3</v>
      </c>
      <c r="AL521" t="s">
        <v>1639</v>
      </c>
      <c r="AM521" t="s">
        <v>1593</v>
      </c>
      <c r="AN521" t="s">
        <v>1640</v>
      </c>
      <c r="AO521" t="s">
        <v>1641</v>
      </c>
      <c r="AP521" t="s">
        <v>74</v>
      </c>
      <c r="AQ521" t="s">
        <v>74</v>
      </c>
      <c r="AR521" t="s">
        <v>1642</v>
      </c>
      <c r="AS521" t="s">
        <v>1643</v>
      </c>
      <c r="AT521" t="s">
        <v>8354</v>
      </c>
      <c r="AU521">
        <v>2007</v>
      </c>
      <c r="AV521">
        <v>146</v>
      </c>
      <c r="AW521">
        <v>4</v>
      </c>
      <c r="AX521" t="s">
        <v>74</v>
      </c>
      <c r="AY521" t="s">
        <v>1778</v>
      </c>
      <c r="AZ521" t="s">
        <v>74</v>
      </c>
      <c r="BA521">
        <v>7</v>
      </c>
      <c r="BB521" t="s">
        <v>8483</v>
      </c>
      <c r="BC521" t="s">
        <v>8483</v>
      </c>
      <c r="BD521" t="s">
        <v>74</v>
      </c>
      <c r="BE521" t="s">
        <v>8484</v>
      </c>
      <c r="BF521" t="str">
        <f>HYPERLINK("http://dx.doi.org/10.1016/j.cbpa.2007.01.461","http://dx.doi.org/10.1016/j.cbpa.2007.01.461")</f>
        <v>http://dx.doi.org/10.1016/j.cbpa.2007.01.461</v>
      </c>
      <c r="BG521" t="s">
        <v>74</v>
      </c>
      <c r="BH521" t="s">
        <v>74</v>
      </c>
      <c r="BI521">
        <v>1</v>
      </c>
      <c r="BJ521" t="s">
        <v>1645</v>
      </c>
      <c r="BK521" t="s">
        <v>98</v>
      </c>
      <c r="BL521" t="s">
        <v>1645</v>
      </c>
      <c r="BM521" t="s">
        <v>8478</v>
      </c>
      <c r="BN521" t="s">
        <v>74</v>
      </c>
      <c r="BO521" t="s">
        <v>74</v>
      </c>
      <c r="BP521" t="s">
        <v>74</v>
      </c>
      <c r="BQ521" t="s">
        <v>74</v>
      </c>
      <c r="BR521" t="s">
        <v>101</v>
      </c>
      <c r="BS521" t="s">
        <v>8485</v>
      </c>
      <c r="BT521" t="str">
        <f>HYPERLINK("https%3A%2F%2Fwww.webofscience.com%2Fwos%2Fwoscc%2Ffull-record%2FWOS:000245748600391","View Full Record in Web of Science")</f>
        <v>View Full Record in Web of Science</v>
      </c>
    </row>
    <row r="522" spans="1:72" x14ac:dyDescent="0.15">
      <c r="A522" t="s">
        <v>72</v>
      </c>
      <c r="B522" t="s">
        <v>8486</v>
      </c>
      <c r="C522" t="s">
        <v>74</v>
      </c>
      <c r="D522" t="s">
        <v>74</v>
      </c>
      <c r="E522" t="s">
        <v>74</v>
      </c>
      <c r="F522" t="s">
        <v>8487</v>
      </c>
      <c r="G522" t="s">
        <v>74</v>
      </c>
      <c r="H522" t="s">
        <v>74</v>
      </c>
      <c r="I522" t="s">
        <v>8488</v>
      </c>
      <c r="J522" t="s">
        <v>1629</v>
      </c>
      <c r="K522" t="s">
        <v>74</v>
      </c>
      <c r="L522" t="s">
        <v>74</v>
      </c>
      <c r="M522" t="s">
        <v>78</v>
      </c>
      <c r="N522" t="s">
        <v>52</v>
      </c>
      <c r="O522" t="s">
        <v>74</v>
      </c>
      <c r="P522" t="s">
        <v>74</v>
      </c>
      <c r="Q522" t="s">
        <v>74</v>
      </c>
      <c r="R522" t="s">
        <v>74</v>
      </c>
      <c r="S522" t="s">
        <v>74</v>
      </c>
      <c r="T522" t="s">
        <v>74</v>
      </c>
      <c r="U522" t="s">
        <v>74</v>
      </c>
      <c r="V522" t="s">
        <v>74</v>
      </c>
      <c r="W522" t="s">
        <v>8489</v>
      </c>
      <c r="X522" t="s">
        <v>8490</v>
      </c>
      <c r="Y522" t="s">
        <v>74</v>
      </c>
      <c r="Z522" t="s">
        <v>74</v>
      </c>
      <c r="AA522" t="s">
        <v>8491</v>
      </c>
      <c r="AB522" t="s">
        <v>74</v>
      </c>
      <c r="AC522" t="s">
        <v>74</v>
      </c>
      <c r="AD522" t="s">
        <v>74</v>
      </c>
      <c r="AE522" t="s">
        <v>74</v>
      </c>
      <c r="AF522" t="s">
        <v>74</v>
      </c>
      <c r="AG522">
        <v>0</v>
      </c>
      <c r="AH522">
        <v>0</v>
      </c>
      <c r="AI522">
        <v>0</v>
      </c>
      <c r="AJ522">
        <v>0</v>
      </c>
      <c r="AK522">
        <v>8</v>
      </c>
      <c r="AL522" t="s">
        <v>1639</v>
      </c>
      <c r="AM522" t="s">
        <v>1593</v>
      </c>
      <c r="AN522" t="s">
        <v>3448</v>
      </c>
      <c r="AO522" t="s">
        <v>1641</v>
      </c>
      <c r="AP522" t="s">
        <v>3449</v>
      </c>
      <c r="AQ522" t="s">
        <v>74</v>
      </c>
      <c r="AR522" t="s">
        <v>1642</v>
      </c>
      <c r="AS522" t="s">
        <v>1643</v>
      </c>
      <c r="AT522" t="s">
        <v>8354</v>
      </c>
      <c r="AU522">
        <v>2007</v>
      </c>
      <c r="AV522">
        <v>146</v>
      </c>
      <c r="AW522">
        <v>4</v>
      </c>
      <c r="AX522" t="s">
        <v>74</v>
      </c>
      <c r="AY522" t="s">
        <v>1778</v>
      </c>
      <c r="AZ522" t="s">
        <v>74</v>
      </c>
      <c r="BA522">
        <v>17</v>
      </c>
      <c r="BB522" t="s">
        <v>8492</v>
      </c>
      <c r="BC522" t="s">
        <v>8493</v>
      </c>
      <c r="BD522" t="s">
        <v>74</v>
      </c>
      <c r="BE522" t="s">
        <v>8494</v>
      </c>
      <c r="BF522" t="str">
        <f>HYPERLINK("http://dx.doi.org/10.1016/j.cbpa.2007.01.316","http://dx.doi.org/10.1016/j.cbpa.2007.01.316")</f>
        <v>http://dx.doi.org/10.1016/j.cbpa.2007.01.316</v>
      </c>
      <c r="BG522" t="s">
        <v>74</v>
      </c>
      <c r="BH522" t="s">
        <v>74</v>
      </c>
      <c r="BI522">
        <v>2</v>
      </c>
      <c r="BJ522" t="s">
        <v>1645</v>
      </c>
      <c r="BK522" t="s">
        <v>98</v>
      </c>
      <c r="BL522" t="s">
        <v>1645</v>
      </c>
      <c r="BM522" t="s">
        <v>8478</v>
      </c>
      <c r="BN522" t="s">
        <v>74</v>
      </c>
      <c r="BO522" t="s">
        <v>74</v>
      </c>
      <c r="BP522" t="s">
        <v>74</v>
      </c>
      <c r="BQ522" t="s">
        <v>74</v>
      </c>
      <c r="BR522" t="s">
        <v>101</v>
      </c>
      <c r="BS522" t="s">
        <v>8495</v>
      </c>
      <c r="BT522" t="str">
        <f>HYPERLINK("https%3A%2F%2Fwww.webofscience.com%2Fwos%2Fwoscc%2Ffull-record%2FWOS:000245748600261","View Full Record in Web of Science")</f>
        <v>View Full Record in Web of Science</v>
      </c>
    </row>
    <row r="523" spans="1:72" x14ac:dyDescent="0.15">
      <c r="A523" t="s">
        <v>72</v>
      </c>
      <c r="B523" t="s">
        <v>8496</v>
      </c>
      <c r="C523" t="s">
        <v>74</v>
      </c>
      <c r="D523" t="s">
        <v>74</v>
      </c>
      <c r="E523" t="s">
        <v>74</v>
      </c>
      <c r="F523" t="s">
        <v>8497</v>
      </c>
      <c r="G523" t="s">
        <v>74</v>
      </c>
      <c r="H523" t="s">
        <v>74</v>
      </c>
      <c r="I523" t="s">
        <v>8498</v>
      </c>
      <c r="J523" t="s">
        <v>1629</v>
      </c>
      <c r="K523" t="s">
        <v>74</v>
      </c>
      <c r="L523" t="s">
        <v>74</v>
      </c>
      <c r="M523" t="s">
        <v>78</v>
      </c>
      <c r="N523" t="s">
        <v>52</v>
      </c>
      <c r="O523" t="s">
        <v>74</v>
      </c>
      <c r="P523" t="s">
        <v>74</v>
      </c>
      <c r="Q523" t="s">
        <v>74</v>
      </c>
      <c r="R523" t="s">
        <v>74</v>
      </c>
      <c r="S523" t="s">
        <v>74</v>
      </c>
      <c r="T523" t="s">
        <v>74</v>
      </c>
      <c r="U523" t="s">
        <v>74</v>
      </c>
      <c r="V523" t="s">
        <v>74</v>
      </c>
      <c r="W523" t="s">
        <v>8499</v>
      </c>
      <c r="X523" t="s">
        <v>74</v>
      </c>
      <c r="Y523" t="s">
        <v>74</v>
      </c>
      <c r="Z523" t="s">
        <v>74</v>
      </c>
      <c r="AA523" t="s">
        <v>8500</v>
      </c>
      <c r="AB523" t="s">
        <v>8501</v>
      </c>
      <c r="AC523" t="s">
        <v>74</v>
      </c>
      <c r="AD523" t="s">
        <v>74</v>
      </c>
      <c r="AE523" t="s">
        <v>74</v>
      </c>
      <c r="AF523" t="s">
        <v>74</v>
      </c>
      <c r="AG523">
        <v>0</v>
      </c>
      <c r="AH523">
        <v>0</v>
      </c>
      <c r="AI523">
        <v>0</v>
      </c>
      <c r="AJ523">
        <v>0</v>
      </c>
      <c r="AK523">
        <v>1</v>
      </c>
      <c r="AL523" t="s">
        <v>1639</v>
      </c>
      <c r="AM523" t="s">
        <v>1593</v>
      </c>
      <c r="AN523" t="s">
        <v>1640</v>
      </c>
      <c r="AO523" t="s">
        <v>1641</v>
      </c>
      <c r="AP523" t="s">
        <v>74</v>
      </c>
      <c r="AQ523" t="s">
        <v>74</v>
      </c>
      <c r="AR523" t="s">
        <v>1642</v>
      </c>
      <c r="AS523" t="s">
        <v>1643</v>
      </c>
      <c r="AT523" t="s">
        <v>8354</v>
      </c>
      <c r="AU523">
        <v>2007</v>
      </c>
      <c r="AV523">
        <v>146</v>
      </c>
      <c r="AW523">
        <v>4</v>
      </c>
      <c r="AX523" t="s">
        <v>74</v>
      </c>
      <c r="AY523" t="s">
        <v>1778</v>
      </c>
      <c r="AZ523" t="s">
        <v>74</v>
      </c>
      <c r="BA523">
        <v>8</v>
      </c>
      <c r="BB523" t="s">
        <v>8502</v>
      </c>
      <c r="BC523" t="s">
        <v>8476</v>
      </c>
      <c r="BD523" t="s">
        <v>74</v>
      </c>
      <c r="BE523" t="s">
        <v>8503</v>
      </c>
      <c r="BF523" t="str">
        <f>HYPERLINK("http://dx.doi.org/10.1016/j.cbpa.2007.01.529","http://dx.doi.org/10.1016/j.cbpa.2007.01.529")</f>
        <v>http://dx.doi.org/10.1016/j.cbpa.2007.01.529</v>
      </c>
      <c r="BG523" t="s">
        <v>74</v>
      </c>
      <c r="BH523" t="s">
        <v>74</v>
      </c>
      <c r="BI523">
        <v>2</v>
      </c>
      <c r="BJ523" t="s">
        <v>1645</v>
      </c>
      <c r="BK523" t="s">
        <v>98</v>
      </c>
      <c r="BL523" t="s">
        <v>1645</v>
      </c>
      <c r="BM523" t="s">
        <v>8478</v>
      </c>
      <c r="BN523" t="s">
        <v>74</v>
      </c>
      <c r="BO523" t="s">
        <v>74</v>
      </c>
      <c r="BP523" t="s">
        <v>74</v>
      </c>
      <c r="BQ523" t="s">
        <v>74</v>
      </c>
      <c r="BR523" t="s">
        <v>101</v>
      </c>
      <c r="BS523" t="s">
        <v>8504</v>
      </c>
      <c r="BT523" t="str">
        <f>HYPERLINK("https%3A%2F%2Fwww.webofscience.com%2Fwos%2Fwoscc%2Ffull-record%2FWOS:000245748600401","View Full Record in Web of Science")</f>
        <v>View Full Record in Web of Science</v>
      </c>
    </row>
    <row r="524" spans="1:72" x14ac:dyDescent="0.15">
      <c r="A524" t="s">
        <v>72</v>
      </c>
      <c r="B524" t="s">
        <v>8496</v>
      </c>
      <c r="C524" t="s">
        <v>74</v>
      </c>
      <c r="D524" t="s">
        <v>74</v>
      </c>
      <c r="E524" t="s">
        <v>74</v>
      </c>
      <c r="F524" t="s">
        <v>8497</v>
      </c>
      <c r="G524" t="s">
        <v>74</v>
      </c>
      <c r="H524" t="s">
        <v>74</v>
      </c>
      <c r="I524" t="s">
        <v>8505</v>
      </c>
      <c r="J524" t="s">
        <v>1629</v>
      </c>
      <c r="K524" t="s">
        <v>74</v>
      </c>
      <c r="L524" t="s">
        <v>74</v>
      </c>
      <c r="M524" t="s">
        <v>78</v>
      </c>
      <c r="N524" t="s">
        <v>52</v>
      </c>
      <c r="O524" t="s">
        <v>74</v>
      </c>
      <c r="P524" t="s">
        <v>74</v>
      </c>
      <c r="Q524" t="s">
        <v>74</v>
      </c>
      <c r="R524" t="s">
        <v>74</v>
      </c>
      <c r="S524" t="s">
        <v>74</v>
      </c>
      <c r="T524" t="s">
        <v>74</v>
      </c>
      <c r="U524" t="s">
        <v>74</v>
      </c>
      <c r="V524" t="s">
        <v>74</v>
      </c>
      <c r="W524" t="s">
        <v>8499</v>
      </c>
      <c r="X524" t="s">
        <v>74</v>
      </c>
      <c r="Y524" t="s">
        <v>74</v>
      </c>
      <c r="Z524" t="s">
        <v>74</v>
      </c>
      <c r="AA524" t="s">
        <v>8506</v>
      </c>
      <c r="AB524" t="s">
        <v>8507</v>
      </c>
      <c r="AC524" t="s">
        <v>74</v>
      </c>
      <c r="AD524" t="s">
        <v>74</v>
      </c>
      <c r="AE524" t="s">
        <v>74</v>
      </c>
      <c r="AF524" t="s">
        <v>74</v>
      </c>
      <c r="AG524">
        <v>0</v>
      </c>
      <c r="AH524">
        <v>0</v>
      </c>
      <c r="AI524">
        <v>0</v>
      </c>
      <c r="AJ524">
        <v>0</v>
      </c>
      <c r="AK524">
        <v>4</v>
      </c>
      <c r="AL524" t="s">
        <v>1639</v>
      </c>
      <c r="AM524" t="s">
        <v>1593</v>
      </c>
      <c r="AN524" t="s">
        <v>1640</v>
      </c>
      <c r="AO524" t="s">
        <v>1641</v>
      </c>
      <c r="AP524" t="s">
        <v>74</v>
      </c>
      <c r="AQ524" t="s">
        <v>74</v>
      </c>
      <c r="AR524" t="s">
        <v>1642</v>
      </c>
      <c r="AS524" t="s">
        <v>1643</v>
      </c>
      <c r="AT524" t="s">
        <v>8354</v>
      </c>
      <c r="AU524">
        <v>2007</v>
      </c>
      <c r="AV524">
        <v>146</v>
      </c>
      <c r="AW524">
        <v>4</v>
      </c>
      <c r="AX524" t="s">
        <v>74</v>
      </c>
      <c r="AY524" t="s">
        <v>1778</v>
      </c>
      <c r="AZ524" t="s">
        <v>74</v>
      </c>
      <c r="BA524">
        <v>15</v>
      </c>
      <c r="BB524" t="s">
        <v>8492</v>
      </c>
      <c r="BC524" t="s">
        <v>8492</v>
      </c>
      <c r="BD524" t="s">
        <v>74</v>
      </c>
      <c r="BE524" t="s">
        <v>8508</v>
      </c>
      <c r="BF524" t="str">
        <f>HYPERLINK("http://dx.doi.org/10.1016/j.cbpa.2007.01.314","http://dx.doi.org/10.1016/j.cbpa.2007.01.314")</f>
        <v>http://dx.doi.org/10.1016/j.cbpa.2007.01.314</v>
      </c>
      <c r="BG524" t="s">
        <v>74</v>
      </c>
      <c r="BH524" t="s">
        <v>74</v>
      </c>
      <c r="BI524">
        <v>1</v>
      </c>
      <c r="BJ524" t="s">
        <v>1645</v>
      </c>
      <c r="BK524" t="s">
        <v>98</v>
      </c>
      <c r="BL524" t="s">
        <v>1645</v>
      </c>
      <c r="BM524" t="s">
        <v>8478</v>
      </c>
      <c r="BN524" t="s">
        <v>74</v>
      </c>
      <c r="BO524" t="s">
        <v>74</v>
      </c>
      <c r="BP524" t="s">
        <v>74</v>
      </c>
      <c r="BQ524" t="s">
        <v>74</v>
      </c>
      <c r="BR524" t="s">
        <v>101</v>
      </c>
      <c r="BS524" t="s">
        <v>8509</v>
      </c>
      <c r="BT524" t="str">
        <f>HYPERLINK("https%3A%2F%2Fwww.webofscience.com%2Fwos%2Fwoscc%2Ffull-record%2FWOS:000245748600259","View Full Record in Web of Science")</f>
        <v>View Full Record in Web of Science</v>
      </c>
    </row>
    <row r="525" spans="1:72" x14ac:dyDescent="0.15">
      <c r="A525" t="s">
        <v>72</v>
      </c>
      <c r="B525" t="s">
        <v>8510</v>
      </c>
      <c r="C525" t="s">
        <v>74</v>
      </c>
      <c r="D525" t="s">
        <v>74</v>
      </c>
      <c r="E525" t="s">
        <v>74</v>
      </c>
      <c r="F525" t="s">
        <v>8511</v>
      </c>
      <c r="G525" t="s">
        <v>74</v>
      </c>
      <c r="H525" t="s">
        <v>74</v>
      </c>
      <c r="I525" t="s">
        <v>8512</v>
      </c>
      <c r="J525" t="s">
        <v>8513</v>
      </c>
      <c r="K525" t="s">
        <v>74</v>
      </c>
      <c r="L525" t="s">
        <v>74</v>
      </c>
      <c r="M525" t="s">
        <v>78</v>
      </c>
      <c r="N525" t="s">
        <v>79</v>
      </c>
      <c r="O525" t="s">
        <v>74</v>
      </c>
      <c r="P525" t="s">
        <v>74</v>
      </c>
      <c r="Q525" t="s">
        <v>74</v>
      </c>
      <c r="R525" t="s">
        <v>74</v>
      </c>
      <c r="S525" t="s">
        <v>74</v>
      </c>
      <c r="T525" t="s">
        <v>8514</v>
      </c>
      <c r="U525" t="s">
        <v>8515</v>
      </c>
      <c r="V525" t="s">
        <v>8516</v>
      </c>
      <c r="W525" t="s">
        <v>8517</v>
      </c>
      <c r="X525" t="s">
        <v>8518</v>
      </c>
      <c r="Y525" t="s">
        <v>8519</v>
      </c>
      <c r="Z525" t="s">
        <v>8520</v>
      </c>
      <c r="AA525" t="s">
        <v>8521</v>
      </c>
      <c r="AB525" t="s">
        <v>8522</v>
      </c>
      <c r="AC525" t="s">
        <v>74</v>
      </c>
      <c r="AD525" t="s">
        <v>74</v>
      </c>
      <c r="AE525" t="s">
        <v>74</v>
      </c>
      <c r="AF525" t="s">
        <v>74</v>
      </c>
      <c r="AG525">
        <v>29</v>
      </c>
      <c r="AH525">
        <v>44</v>
      </c>
      <c r="AI525">
        <v>48</v>
      </c>
      <c r="AJ525">
        <v>0</v>
      </c>
      <c r="AK525">
        <v>40</v>
      </c>
      <c r="AL525" t="s">
        <v>1202</v>
      </c>
      <c r="AM525" t="s">
        <v>1203</v>
      </c>
      <c r="AN525" t="s">
        <v>1204</v>
      </c>
      <c r="AO525" t="s">
        <v>8523</v>
      </c>
      <c r="AP525" t="s">
        <v>8524</v>
      </c>
      <c r="AQ525" t="s">
        <v>74</v>
      </c>
      <c r="AR525" t="s">
        <v>8525</v>
      </c>
      <c r="AS525" t="s">
        <v>8526</v>
      </c>
      <c r="AT525" t="s">
        <v>8354</v>
      </c>
      <c r="AU525">
        <v>2007</v>
      </c>
      <c r="AV525">
        <v>21</v>
      </c>
      <c r="AW525">
        <v>2</v>
      </c>
      <c r="AX525" t="s">
        <v>74</v>
      </c>
      <c r="AY525" t="s">
        <v>74</v>
      </c>
      <c r="AZ525" t="s">
        <v>74</v>
      </c>
      <c r="BA525" t="s">
        <v>74</v>
      </c>
      <c r="BB525">
        <v>346</v>
      </c>
      <c r="BC525">
        <v>354</v>
      </c>
      <c r="BD525" t="s">
        <v>74</v>
      </c>
      <c r="BE525" t="s">
        <v>8527</v>
      </c>
      <c r="BF525" t="str">
        <f>HYPERLINK("http://dx.doi.org/10.1111/j.1523-1739.2006.00618.x","http://dx.doi.org/10.1111/j.1523-1739.2006.00618.x")</f>
        <v>http://dx.doi.org/10.1111/j.1523-1739.2006.00618.x</v>
      </c>
      <c r="BG525" t="s">
        <v>74</v>
      </c>
      <c r="BH525" t="s">
        <v>74</v>
      </c>
      <c r="BI525">
        <v>9</v>
      </c>
      <c r="BJ525" t="s">
        <v>3416</v>
      </c>
      <c r="BK525" t="s">
        <v>98</v>
      </c>
      <c r="BL525" t="s">
        <v>99</v>
      </c>
      <c r="BM525" t="s">
        <v>8528</v>
      </c>
      <c r="BN525">
        <v>17391185</v>
      </c>
      <c r="BO525" t="s">
        <v>74</v>
      </c>
      <c r="BP525" t="s">
        <v>74</v>
      </c>
      <c r="BQ525" t="s">
        <v>74</v>
      </c>
      <c r="BR525" t="s">
        <v>101</v>
      </c>
      <c r="BS525" t="s">
        <v>8529</v>
      </c>
      <c r="BT525" t="str">
        <f>HYPERLINK("https%3A%2F%2Fwww.webofscience.com%2Fwos%2Fwoscc%2Ffull-record%2FWOS:000245438200011","View Full Record in Web of Science")</f>
        <v>View Full Record in Web of Science</v>
      </c>
    </row>
    <row r="526" spans="1:72" x14ac:dyDescent="0.15">
      <c r="A526" t="s">
        <v>72</v>
      </c>
      <c r="B526" t="s">
        <v>8530</v>
      </c>
      <c r="C526" t="s">
        <v>74</v>
      </c>
      <c r="D526" t="s">
        <v>74</v>
      </c>
      <c r="E526" t="s">
        <v>74</v>
      </c>
      <c r="F526" t="s">
        <v>8531</v>
      </c>
      <c r="G526" t="s">
        <v>74</v>
      </c>
      <c r="H526" t="s">
        <v>74</v>
      </c>
      <c r="I526" t="s">
        <v>8532</v>
      </c>
      <c r="J526" t="s">
        <v>8533</v>
      </c>
      <c r="K526" t="s">
        <v>74</v>
      </c>
      <c r="L526" t="s">
        <v>74</v>
      </c>
      <c r="M526" t="s">
        <v>78</v>
      </c>
      <c r="N526" t="s">
        <v>79</v>
      </c>
      <c r="O526" t="s">
        <v>74</v>
      </c>
      <c r="P526" t="s">
        <v>74</v>
      </c>
      <c r="Q526" t="s">
        <v>74</v>
      </c>
      <c r="R526" t="s">
        <v>74</v>
      </c>
      <c r="S526" t="s">
        <v>74</v>
      </c>
      <c r="T526" t="s">
        <v>74</v>
      </c>
      <c r="U526" t="s">
        <v>8534</v>
      </c>
      <c r="V526" t="s">
        <v>8535</v>
      </c>
      <c r="W526" t="s">
        <v>8536</v>
      </c>
      <c r="X526" t="s">
        <v>8537</v>
      </c>
      <c r="Y526" t="s">
        <v>8538</v>
      </c>
      <c r="Z526" t="s">
        <v>8539</v>
      </c>
      <c r="AA526" t="s">
        <v>8540</v>
      </c>
      <c r="AB526" t="s">
        <v>8541</v>
      </c>
      <c r="AC526" t="s">
        <v>1125</v>
      </c>
      <c r="AD526" t="s">
        <v>361</v>
      </c>
      <c r="AE526" t="s">
        <v>74</v>
      </c>
      <c r="AF526" t="s">
        <v>74</v>
      </c>
      <c r="AG526">
        <v>11</v>
      </c>
      <c r="AH526">
        <v>1</v>
      </c>
      <c r="AI526">
        <v>1</v>
      </c>
      <c r="AJ526">
        <v>0</v>
      </c>
      <c r="AK526">
        <v>4</v>
      </c>
      <c r="AL526" t="s">
        <v>1677</v>
      </c>
      <c r="AM526" t="s">
        <v>1593</v>
      </c>
      <c r="AN526" t="s">
        <v>1678</v>
      </c>
      <c r="AO526" t="s">
        <v>8542</v>
      </c>
      <c r="AP526" t="s">
        <v>8543</v>
      </c>
      <c r="AQ526" t="s">
        <v>74</v>
      </c>
      <c r="AR526" t="s">
        <v>8544</v>
      </c>
      <c r="AS526" t="s">
        <v>8545</v>
      </c>
      <c r="AT526" t="s">
        <v>8354</v>
      </c>
      <c r="AU526">
        <v>2007</v>
      </c>
      <c r="AV526">
        <v>45</v>
      </c>
      <c r="AW526">
        <v>2</v>
      </c>
      <c r="AX526" t="s">
        <v>74</v>
      </c>
      <c r="AY526" t="s">
        <v>74</v>
      </c>
      <c r="AZ526" t="s">
        <v>74</v>
      </c>
      <c r="BA526" t="s">
        <v>74</v>
      </c>
      <c r="BB526">
        <v>89</v>
      </c>
      <c r="BC526">
        <v>96</v>
      </c>
      <c r="BD526" t="s">
        <v>74</v>
      </c>
      <c r="BE526" t="s">
        <v>8546</v>
      </c>
      <c r="BF526" t="str">
        <f>HYPERLINK("http://dx.doi.org/10.1134/S0010952507020013","http://dx.doi.org/10.1134/S0010952507020013")</f>
        <v>http://dx.doi.org/10.1134/S0010952507020013</v>
      </c>
      <c r="BG526" t="s">
        <v>74</v>
      </c>
      <c r="BH526" t="s">
        <v>74</v>
      </c>
      <c r="BI526">
        <v>8</v>
      </c>
      <c r="BJ526" t="s">
        <v>8547</v>
      </c>
      <c r="BK526" t="s">
        <v>98</v>
      </c>
      <c r="BL526" t="s">
        <v>8548</v>
      </c>
      <c r="BM526" t="s">
        <v>8549</v>
      </c>
      <c r="BN526" t="s">
        <v>74</v>
      </c>
      <c r="BO526" t="s">
        <v>74</v>
      </c>
      <c r="BP526" t="s">
        <v>74</v>
      </c>
      <c r="BQ526" t="s">
        <v>74</v>
      </c>
      <c r="BR526" t="s">
        <v>101</v>
      </c>
      <c r="BS526" t="s">
        <v>8550</v>
      </c>
      <c r="BT526" t="str">
        <f>HYPERLINK("https%3A%2F%2Fwww.webofscience.com%2Fwos%2Fwoscc%2Ffull-record%2FWOS:000246351900001","View Full Record in Web of Science")</f>
        <v>View Full Record in Web of Science</v>
      </c>
    </row>
    <row r="527" spans="1:72" x14ac:dyDescent="0.15">
      <c r="A527" t="s">
        <v>72</v>
      </c>
      <c r="B527" t="s">
        <v>8551</v>
      </c>
      <c r="C527" t="s">
        <v>74</v>
      </c>
      <c r="D527" t="s">
        <v>74</v>
      </c>
      <c r="E527" t="s">
        <v>74</v>
      </c>
      <c r="F527" t="s">
        <v>8552</v>
      </c>
      <c r="G527" t="s">
        <v>74</v>
      </c>
      <c r="H527" t="s">
        <v>74</v>
      </c>
      <c r="I527" t="s">
        <v>8553</v>
      </c>
      <c r="J527" t="s">
        <v>8554</v>
      </c>
      <c r="K527" t="s">
        <v>74</v>
      </c>
      <c r="L527" t="s">
        <v>74</v>
      </c>
      <c r="M527" t="s">
        <v>78</v>
      </c>
      <c r="N527" t="s">
        <v>79</v>
      </c>
      <c r="O527" t="s">
        <v>74</v>
      </c>
      <c r="P527" t="s">
        <v>74</v>
      </c>
      <c r="Q527" t="s">
        <v>74</v>
      </c>
      <c r="R527" t="s">
        <v>74</v>
      </c>
      <c r="S527" t="s">
        <v>74</v>
      </c>
      <c r="T527" t="s">
        <v>8555</v>
      </c>
      <c r="U527" t="s">
        <v>74</v>
      </c>
      <c r="V527" t="s">
        <v>8556</v>
      </c>
      <c r="W527" t="s">
        <v>8557</v>
      </c>
      <c r="X527" t="s">
        <v>2304</v>
      </c>
      <c r="Y527" t="s">
        <v>8558</v>
      </c>
      <c r="Z527" t="s">
        <v>8559</v>
      </c>
      <c r="AA527" t="s">
        <v>74</v>
      </c>
      <c r="AB527" t="s">
        <v>74</v>
      </c>
      <c r="AC527" t="s">
        <v>74</v>
      </c>
      <c r="AD527" t="s">
        <v>74</v>
      </c>
      <c r="AE527" t="s">
        <v>74</v>
      </c>
      <c r="AF527" t="s">
        <v>74</v>
      </c>
      <c r="AG527">
        <v>24</v>
      </c>
      <c r="AH527">
        <v>39</v>
      </c>
      <c r="AI527">
        <v>45</v>
      </c>
      <c r="AJ527">
        <v>0</v>
      </c>
      <c r="AK527">
        <v>5</v>
      </c>
      <c r="AL527" t="s">
        <v>5535</v>
      </c>
      <c r="AM527" t="s">
        <v>363</v>
      </c>
      <c r="AN527" t="s">
        <v>5536</v>
      </c>
      <c r="AO527" t="s">
        <v>8560</v>
      </c>
      <c r="AP527" t="s">
        <v>74</v>
      </c>
      <c r="AQ527" t="s">
        <v>74</v>
      </c>
      <c r="AR527" t="s">
        <v>8561</v>
      </c>
      <c r="AS527" t="s">
        <v>8562</v>
      </c>
      <c r="AT527" t="s">
        <v>8354</v>
      </c>
      <c r="AU527">
        <v>2007</v>
      </c>
      <c r="AV527">
        <v>14</v>
      </c>
      <c r="AW527">
        <v>2</v>
      </c>
      <c r="AX527" t="s">
        <v>74</v>
      </c>
      <c r="AY527" t="s">
        <v>74</v>
      </c>
      <c r="AZ527" t="s">
        <v>74</v>
      </c>
      <c r="BA527" t="s">
        <v>74</v>
      </c>
      <c r="BB527">
        <v>211</v>
      </c>
      <c r="BC527">
        <v>233</v>
      </c>
      <c r="BD527" t="s">
        <v>74</v>
      </c>
      <c r="BE527" t="s">
        <v>8563</v>
      </c>
      <c r="BF527" t="str">
        <f>HYPERLINK("http://dx.doi.org/10.1177/1474474007075355","http://dx.doi.org/10.1177/1474474007075355")</f>
        <v>http://dx.doi.org/10.1177/1474474007075355</v>
      </c>
      <c r="BG527" t="s">
        <v>74</v>
      </c>
      <c r="BH527" t="s">
        <v>74</v>
      </c>
      <c r="BI527">
        <v>23</v>
      </c>
      <c r="BJ527" t="s">
        <v>8564</v>
      </c>
      <c r="BK527" t="s">
        <v>2746</v>
      </c>
      <c r="BL527" t="s">
        <v>8565</v>
      </c>
      <c r="BM527" t="s">
        <v>8566</v>
      </c>
      <c r="BN527" t="s">
        <v>74</v>
      </c>
      <c r="BO527" t="s">
        <v>74</v>
      </c>
      <c r="BP527" t="s">
        <v>74</v>
      </c>
      <c r="BQ527" t="s">
        <v>74</v>
      </c>
      <c r="BR527" t="s">
        <v>101</v>
      </c>
      <c r="BS527" t="s">
        <v>8567</v>
      </c>
      <c r="BT527" t="str">
        <f>HYPERLINK("https%3A%2F%2Fwww.webofscience.com%2Fwos%2Fwoscc%2Ffull-record%2FWOS:000247032600003","View Full Record in Web of Science")</f>
        <v>View Full Record in Web of Science</v>
      </c>
    </row>
    <row r="528" spans="1:72" x14ac:dyDescent="0.15">
      <c r="A528" t="s">
        <v>72</v>
      </c>
      <c r="B528" t="s">
        <v>8568</v>
      </c>
      <c r="C528" t="s">
        <v>74</v>
      </c>
      <c r="D528" t="s">
        <v>74</v>
      </c>
      <c r="E528" t="s">
        <v>74</v>
      </c>
      <c r="F528" t="s">
        <v>8569</v>
      </c>
      <c r="G528" t="s">
        <v>74</v>
      </c>
      <c r="H528" t="s">
        <v>74</v>
      </c>
      <c r="I528" t="s">
        <v>8570</v>
      </c>
      <c r="J528" t="s">
        <v>8554</v>
      </c>
      <c r="K528" t="s">
        <v>74</v>
      </c>
      <c r="L528" t="s">
        <v>74</v>
      </c>
      <c r="M528" t="s">
        <v>78</v>
      </c>
      <c r="N528" t="s">
        <v>79</v>
      </c>
      <c r="O528" t="s">
        <v>74</v>
      </c>
      <c r="P528" t="s">
        <v>74</v>
      </c>
      <c r="Q528" t="s">
        <v>74</v>
      </c>
      <c r="R528" t="s">
        <v>74</v>
      </c>
      <c r="S528" t="s">
        <v>74</v>
      </c>
      <c r="T528" t="s">
        <v>74</v>
      </c>
      <c r="U528" t="s">
        <v>74</v>
      </c>
      <c r="V528" t="s">
        <v>8571</v>
      </c>
      <c r="W528" t="s">
        <v>8572</v>
      </c>
      <c r="X528" t="s">
        <v>8573</v>
      </c>
      <c r="Y528" t="s">
        <v>8574</v>
      </c>
      <c r="Z528" t="s">
        <v>8575</v>
      </c>
      <c r="AA528" t="s">
        <v>74</v>
      </c>
      <c r="AB528" t="s">
        <v>8576</v>
      </c>
      <c r="AC528" t="s">
        <v>74</v>
      </c>
      <c r="AD528" t="s">
        <v>74</v>
      </c>
      <c r="AE528" t="s">
        <v>74</v>
      </c>
      <c r="AF528" t="s">
        <v>74</v>
      </c>
      <c r="AG528">
        <v>58</v>
      </c>
      <c r="AH528">
        <v>23</v>
      </c>
      <c r="AI528">
        <v>25</v>
      </c>
      <c r="AJ528">
        <v>0</v>
      </c>
      <c r="AK528">
        <v>8</v>
      </c>
      <c r="AL528" t="s">
        <v>5535</v>
      </c>
      <c r="AM528" t="s">
        <v>363</v>
      </c>
      <c r="AN528" t="s">
        <v>5536</v>
      </c>
      <c r="AO528" t="s">
        <v>8560</v>
      </c>
      <c r="AP528" t="s">
        <v>74</v>
      </c>
      <c r="AQ528" t="s">
        <v>74</v>
      </c>
      <c r="AR528" t="s">
        <v>8561</v>
      </c>
      <c r="AS528" t="s">
        <v>8562</v>
      </c>
      <c r="AT528" t="s">
        <v>8354</v>
      </c>
      <c r="AU528">
        <v>2007</v>
      </c>
      <c r="AV528">
        <v>14</v>
      </c>
      <c r="AW528">
        <v>2</v>
      </c>
      <c r="AX528" t="s">
        <v>74</v>
      </c>
      <c r="AY528" t="s">
        <v>74</v>
      </c>
      <c r="AZ528" t="s">
        <v>74</v>
      </c>
      <c r="BA528" t="s">
        <v>74</v>
      </c>
      <c r="BB528">
        <v>234</v>
      </c>
      <c r="BC528">
        <v>254</v>
      </c>
      <c r="BD528" t="s">
        <v>74</v>
      </c>
      <c r="BE528" t="s">
        <v>8577</v>
      </c>
      <c r="BF528" t="str">
        <f>HYPERLINK("http://dx.doi.org/10.1177/1474474007075356","http://dx.doi.org/10.1177/1474474007075356")</f>
        <v>http://dx.doi.org/10.1177/1474474007075356</v>
      </c>
      <c r="BG528" t="s">
        <v>74</v>
      </c>
      <c r="BH528" t="s">
        <v>74</v>
      </c>
      <c r="BI528">
        <v>21</v>
      </c>
      <c r="BJ528" t="s">
        <v>8564</v>
      </c>
      <c r="BK528" t="s">
        <v>2746</v>
      </c>
      <c r="BL528" t="s">
        <v>8565</v>
      </c>
      <c r="BM528" t="s">
        <v>8566</v>
      </c>
      <c r="BN528" t="s">
        <v>74</v>
      </c>
      <c r="BO528" t="s">
        <v>74</v>
      </c>
      <c r="BP528" t="s">
        <v>74</v>
      </c>
      <c r="BQ528" t="s">
        <v>74</v>
      </c>
      <c r="BR528" t="s">
        <v>101</v>
      </c>
      <c r="BS528" t="s">
        <v>8578</v>
      </c>
      <c r="BT528" t="str">
        <f>HYPERLINK("https%3A%2F%2Fwww.webofscience.com%2Fwos%2Fwoscc%2Ffull-record%2FWOS:000247032600004","View Full Record in Web of Science")</f>
        <v>View Full Record in Web of Science</v>
      </c>
    </row>
    <row r="529" spans="1:72" x14ac:dyDescent="0.15">
      <c r="A529" t="s">
        <v>72</v>
      </c>
      <c r="B529" t="s">
        <v>8579</v>
      </c>
      <c r="C529" t="s">
        <v>74</v>
      </c>
      <c r="D529" t="s">
        <v>74</v>
      </c>
      <c r="E529" t="s">
        <v>74</v>
      </c>
      <c r="F529" t="s">
        <v>8580</v>
      </c>
      <c r="G529" t="s">
        <v>74</v>
      </c>
      <c r="H529" t="s">
        <v>74</v>
      </c>
      <c r="I529" t="s">
        <v>8581</v>
      </c>
      <c r="J529" t="s">
        <v>8582</v>
      </c>
      <c r="K529" t="s">
        <v>74</v>
      </c>
      <c r="L529" t="s">
        <v>74</v>
      </c>
      <c r="M529" t="s">
        <v>78</v>
      </c>
      <c r="N529" t="s">
        <v>79</v>
      </c>
      <c r="O529" t="s">
        <v>74</v>
      </c>
      <c r="P529" t="s">
        <v>74</v>
      </c>
      <c r="Q529" t="s">
        <v>74</v>
      </c>
      <c r="R529" t="s">
        <v>74</v>
      </c>
      <c r="S529" t="s">
        <v>74</v>
      </c>
      <c r="T529" t="s">
        <v>8583</v>
      </c>
      <c r="U529" t="s">
        <v>8584</v>
      </c>
      <c r="V529" t="s">
        <v>8585</v>
      </c>
      <c r="W529" t="s">
        <v>8586</v>
      </c>
      <c r="X529" t="s">
        <v>8587</v>
      </c>
      <c r="Y529" t="s">
        <v>8588</v>
      </c>
      <c r="Z529" t="s">
        <v>8589</v>
      </c>
      <c r="AA529" t="s">
        <v>8590</v>
      </c>
      <c r="AB529" t="s">
        <v>74</v>
      </c>
      <c r="AC529" t="s">
        <v>74</v>
      </c>
      <c r="AD529" t="s">
        <v>74</v>
      </c>
      <c r="AE529" t="s">
        <v>74</v>
      </c>
      <c r="AF529" t="s">
        <v>74</v>
      </c>
      <c r="AG529">
        <v>34</v>
      </c>
      <c r="AH529">
        <v>22</v>
      </c>
      <c r="AI529">
        <v>24</v>
      </c>
      <c r="AJ529">
        <v>0</v>
      </c>
      <c r="AK529">
        <v>20</v>
      </c>
      <c r="AL529" t="s">
        <v>1592</v>
      </c>
      <c r="AM529" t="s">
        <v>1593</v>
      </c>
      <c r="AN529" t="s">
        <v>2512</v>
      </c>
      <c r="AO529" t="s">
        <v>8591</v>
      </c>
      <c r="AP529" t="s">
        <v>74</v>
      </c>
      <c r="AQ529" t="s">
        <v>74</v>
      </c>
      <c r="AR529" t="s">
        <v>8592</v>
      </c>
      <c r="AS529" t="s">
        <v>8593</v>
      </c>
      <c r="AT529" t="s">
        <v>8354</v>
      </c>
      <c r="AU529">
        <v>2007</v>
      </c>
      <c r="AV529">
        <v>52</v>
      </c>
      <c r="AW529">
        <v>4</v>
      </c>
      <c r="AX529" t="s">
        <v>74</v>
      </c>
      <c r="AY529" t="s">
        <v>74</v>
      </c>
      <c r="AZ529" t="s">
        <v>74</v>
      </c>
      <c r="BA529" t="s">
        <v>74</v>
      </c>
      <c r="BB529">
        <v>779</v>
      </c>
      <c r="BC529">
        <v>787</v>
      </c>
      <c r="BD529" t="s">
        <v>74</v>
      </c>
      <c r="BE529" t="s">
        <v>8594</v>
      </c>
      <c r="BF529" t="str">
        <f>HYPERLINK("http://dx.doi.org/10.1007/s00254-006-0515-7","http://dx.doi.org/10.1007/s00254-006-0515-7")</f>
        <v>http://dx.doi.org/10.1007/s00254-006-0515-7</v>
      </c>
      <c r="BG529" t="s">
        <v>74</v>
      </c>
      <c r="BH529" t="s">
        <v>74</v>
      </c>
      <c r="BI529">
        <v>9</v>
      </c>
      <c r="BJ529" t="s">
        <v>8595</v>
      </c>
      <c r="BK529" t="s">
        <v>98</v>
      </c>
      <c r="BL529" t="s">
        <v>8596</v>
      </c>
      <c r="BM529" t="s">
        <v>8597</v>
      </c>
      <c r="BN529" t="s">
        <v>74</v>
      </c>
      <c r="BO529" t="s">
        <v>74</v>
      </c>
      <c r="BP529" t="s">
        <v>74</v>
      </c>
      <c r="BQ529" t="s">
        <v>74</v>
      </c>
      <c r="BR529" t="s">
        <v>101</v>
      </c>
      <c r="BS529" t="s">
        <v>8598</v>
      </c>
      <c r="BT529" t="str">
        <f>HYPERLINK("https%3A%2F%2Fwww.webofscience.com%2Fwos%2Fwoscc%2Ffull-record%2FWOS:000246095500018","View Full Record in Web of Science")</f>
        <v>View Full Record in Web of Science</v>
      </c>
    </row>
    <row r="530" spans="1:72" x14ac:dyDescent="0.15">
      <c r="A530" t="s">
        <v>72</v>
      </c>
      <c r="B530" t="s">
        <v>8599</v>
      </c>
      <c r="C530" t="s">
        <v>74</v>
      </c>
      <c r="D530" t="s">
        <v>74</v>
      </c>
      <c r="E530" t="s">
        <v>74</v>
      </c>
      <c r="F530" t="s">
        <v>8600</v>
      </c>
      <c r="G530" t="s">
        <v>74</v>
      </c>
      <c r="H530" t="s">
        <v>74</v>
      </c>
      <c r="I530" t="s">
        <v>8601</v>
      </c>
      <c r="J530" t="s">
        <v>8602</v>
      </c>
      <c r="K530" t="s">
        <v>74</v>
      </c>
      <c r="L530" t="s">
        <v>74</v>
      </c>
      <c r="M530" t="s">
        <v>78</v>
      </c>
      <c r="N530" t="s">
        <v>79</v>
      </c>
      <c r="O530" t="s">
        <v>74</v>
      </c>
      <c r="P530" t="s">
        <v>74</v>
      </c>
      <c r="Q530" t="s">
        <v>74</v>
      </c>
      <c r="R530" t="s">
        <v>74</v>
      </c>
      <c r="S530" t="s">
        <v>74</v>
      </c>
      <c r="T530" t="s">
        <v>8603</v>
      </c>
      <c r="U530" t="s">
        <v>8604</v>
      </c>
      <c r="V530" t="s">
        <v>8605</v>
      </c>
      <c r="W530" t="s">
        <v>8606</v>
      </c>
      <c r="X530" t="s">
        <v>8607</v>
      </c>
      <c r="Y530" t="s">
        <v>8608</v>
      </c>
      <c r="Z530" t="s">
        <v>8609</v>
      </c>
      <c r="AA530" t="s">
        <v>74</v>
      </c>
      <c r="AB530" t="s">
        <v>74</v>
      </c>
      <c r="AC530" t="s">
        <v>74</v>
      </c>
      <c r="AD530" t="s">
        <v>74</v>
      </c>
      <c r="AE530" t="s">
        <v>74</v>
      </c>
      <c r="AF530" t="s">
        <v>74</v>
      </c>
      <c r="AG530">
        <v>52</v>
      </c>
      <c r="AH530">
        <v>174</v>
      </c>
      <c r="AI530">
        <v>187</v>
      </c>
      <c r="AJ530">
        <v>1</v>
      </c>
      <c r="AK530">
        <v>21</v>
      </c>
      <c r="AL530" t="s">
        <v>8610</v>
      </c>
      <c r="AM530" t="s">
        <v>1484</v>
      </c>
      <c r="AN530" t="s">
        <v>1485</v>
      </c>
      <c r="AO530" t="s">
        <v>8611</v>
      </c>
      <c r="AP530" t="s">
        <v>74</v>
      </c>
      <c r="AQ530" t="s">
        <v>74</v>
      </c>
      <c r="AR530" t="s">
        <v>8612</v>
      </c>
      <c r="AS530" t="s">
        <v>8613</v>
      </c>
      <c r="AT530" t="s">
        <v>8614</v>
      </c>
      <c r="AU530">
        <v>2007</v>
      </c>
      <c r="AV530">
        <v>2</v>
      </c>
      <c r="AW530">
        <v>2</v>
      </c>
      <c r="AX530" t="s">
        <v>74</v>
      </c>
      <c r="AY530" t="s">
        <v>74</v>
      </c>
      <c r="AZ530" t="s">
        <v>74</v>
      </c>
      <c r="BA530" t="s">
        <v>74</v>
      </c>
      <c r="BB530" t="s">
        <v>74</v>
      </c>
      <c r="BC530" t="s">
        <v>74</v>
      </c>
      <c r="BD530">
        <v>24002</v>
      </c>
      <c r="BE530" t="s">
        <v>8615</v>
      </c>
      <c r="BF530" t="str">
        <f>HYPERLINK("http://dx.doi.org/10.1088/1748-9326/2/2/024002","http://dx.doi.org/10.1088/1748-9326/2/2/024002")</f>
        <v>http://dx.doi.org/10.1088/1748-9326/2/2/024002</v>
      </c>
      <c r="BG530" t="s">
        <v>74</v>
      </c>
      <c r="BH530" t="s">
        <v>74</v>
      </c>
      <c r="BI530">
        <v>6</v>
      </c>
      <c r="BJ530" t="s">
        <v>1511</v>
      </c>
      <c r="BK530" t="s">
        <v>98</v>
      </c>
      <c r="BL530" t="s">
        <v>1512</v>
      </c>
      <c r="BM530" t="s">
        <v>8616</v>
      </c>
      <c r="BN530" t="s">
        <v>74</v>
      </c>
      <c r="BO530" t="s">
        <v>1212</v>
      </c>
      <c r="BP530" t="s">
        <v>74</v>
      </c>
      <c r="BQ530" t="s">
        <v>74</v>
      </c>
      <c r="BR530" t="s">
        <v>101</v>
      </c>
      <c r="BS530" t="s">
        <v>8617</v>
      </c>
      <c r="BT530" t="str">
        <f>HYPERLINK("https%3A%2F%2Fwww.webofscience.com%2Fwos%2Fwoscc%2Ffull-record%2FWOS:000253652800002","View Full Record in Web of Science")</f>
        <v>View Full Record in Web of Science</v>
      </c>
    </row>
    <row r="531" spans="1:72" x14ac:dyDescent="0.15">
      <c r="A531" t="s">
        <v>72</v>
      </c>
      <c r="B531" t="s">
        <v>8618</v>
      </c>
      <c r="C531" t="s">
        <v>74</v>
      </c>
      <c r="D531" t="s">
        <v>74</v>
      </c>
      <c r="E531" t="s">
        <v>74</v>
      </c>
      <c r="F531" t="s">
        <v>8619</v>
      </c>
      <c r="G531" t="s">
        <v>74</v>
      </c>
      <c r="H531" t="s">
        <v>74</v>
      </c>
      <c r="I531" t="s">
        <v>8620</v>
      </c>
      <c r="J531" t="s">
        <v>5333</v>
      </c>
      <c r="K531" t="s">
        <v>74</v>
      </c>
      <c r="L531" t="s">
        <v>74</v>
      </c>
      <c r="M531" t="s">
        <v>78</v>
      </c>
      <c r="N531" t="s">
        <v>79</v>
      </c>
      <c r="O531" t="s">
        <v>74</v>
      </c>
      <c r="P531" t="s">
        <v>74</v>
      </c>
      <c r="Q531" t="s">
        <v>74</v>
      </c>
      <c r="R531" t="s">
        <v>74</v>
      </c>
      <c r="S531" t="s">
        <v>74</v>
      </c>
      <c r="T531" t="s">
        <v>74</v>
      </c>
      <c r="U531" t="s">
        <v>8621</v>
      </c>
      <c r="V531" t="s">
        <v>8622</v>
      </c>
      <c r="W531" t="s">
        <v>8623</v>
      </c>
      <c r="X531" t="s">
        <v>8624</v>
      </c>
      <c r="Y531" t="s">
        <v>8625</v>
      </c>
      <c r="Z531" t="s">
        <v>8626</v>
      </c>
      <c r="AA531" t="s">
        <v>8627</v>
      </c>
      <c r="AB531" t="s">
        <v>8628</v>
      </c>
      <c r="AC531" t="s">
        <v>8629</v>
      </c>
      <c r="AD531" t="s">
        <v>361</v>
      </c>
      <c r="AE531" t="s">
        <v>74</v>
      </c>
      <c r="AF531" t="s">
        <v>74</v>
      </c>
      <c r="AG531">
        <v>44</v>
      </c>
      <c r="AH531">
        <v>42</v>
      </c>
      <c r="AI531">
        <v>46</v>
      </c>
      <c r="AJ531">
        <v>1</v>
      </c>
      <c r="AK531">
        <v>29</v>
      </c>
      <c r="AL531" t="s">
        <v>337</v>
      </c>
      <c r="AM531" t="s">
        <v>142</v>
      </c>
      <c r="AN531" t="s">
        <v>338</v>
      </c>
      <c r="AO531" t="s">
        <v>5342</v>
      </c>
      <c r="AP531" t="s">
        <v>5343</v>
      </c>
      <c r="AQ531" t="s">
        <v>74</v>
      </c>
      <c r="AR531" t="s">
        <v>5344</v>
      </c>
      <c r="AS531" t="s">
        <v>5345</v>
      </c>
      <c r="AT531" t="s">
        <v>8388</v>
      </c>
      <c r="AU531">
        <v>2007</v>
      </c>
      <c r="AV531">
        <v>41</v>
      </c>
      <c r="AW531">
        <v>7</v>
      </c>
      <c r="AX531" t="s">
        <v>74</v>
      </c>
      <c r="AY531" t="s">
        <v>74</v>
      </c>
      <c r="AZ531" t="s">
        <v>74</v>
      </c>
      <c r="BA531" t="s">
        <v>74</v>
      </c>
      <c r="BB531">
        <v>2184</v>
      </c>
      <c r="BC531">
        <v>2189</v>
      </c>
      <c r="BD531" t="s">
        <v>74</v>
      </c>
      <c r="BE531" t="s">
        <v>8630</v>
      </c>
      <c r="BF531" t="str">
        <f>HYPERLINK("http://dx.doi.org/10.1021/es061710t","http://dx.doi.org/10.1021/es061710t")</f>
        <v>http://dx.doi.org/10.1021/es061710t</v>
      </c>
      <c r="BG531" t="s">
        <v>74</v>
      </c>
      <c r="BH531" t="s">
        <v>74</v>
      </c>
      <c r="BI531">
        <v>6</v>
      </c>
      <c r="BJ531" t="s">
        <v>5347</v>
      </c>
      <c r="BK531" t="s">
        <v>98</v>
      </c>
      <c r="BL531" t="s">
        <v>5348</v>
      </c>
      <c r="BM531" t="s">
        <v>8631</v>
      </c>
      <c r="BN531">
        <v>17438761</v>
      </c>
      <c r="BO531" t="s">
        <v>74</v>
      </c>
      <c r="BP531" t="s">
        <v>74</v>
      </c>
      <c r="BQ531" t="s">
        <v>74</v>
      </c>
      <c r="BR531" t="s">
        <v>101</v>
      </c>
      <c r="BS531" t="s">
        <v>8632</v>
      </c>
      <c r="BT531" t="str">
        <f>HYPERLINK("https%3A%2F%2Fwww.webofscience.com%2Fwos%2Fwoscc%2Ffull-record%2FWOS:000245258900024","View Full Record in Web of Science")</f>
        <v>View Full Record in Web of Science</v>
      </c>
    </row>
    <row r="532" spans="1:72" x14ac:dyDescent="0.15">
      <c r="A532" t="s">
        <v>72</v>
      </c>
      <c r="B532" t="s">
        <v>8633</v>
      </c>
      <c r="C532" t="s">
        <v>74</v>
      </c>
      <c r="D532" t="s">
        <v>74</v>
      </c>
      <c r="E532" t="s">
        <v>74</v>
      </c>
      <c r="F532" t="s">
        <v>8634</v>
      </c>
      <c r="G532" t="s">
        <v>74</v>
      </c>
      <c r="H532" t="s">
        <v>74</v>
      </c>
      <c r="I532" t="s">
        <v>8635</v>
      </c>
      <c r="J532" t="s">
        <v>5333</v>
      </c>
      <c r="K532" t="s">
        <v>74</v>
      </c>
      <c r="L532" t="s">
        <v>74</v>
      </c>
      <c r="M532" t="s">
        <v>78</v>
      </c>
      <c r="N532" t="s">
        <v>79</v>
      </c>
      <c r="O532" t="s">
        <v>74</v>
      </c>
      <c r="P532" t="s">
        <v>74</v>
      </c>
      <c r="Q532" t="s">
        <v>74</v>
      </c>
      <c r="R532" t="s">
        <v>74</v>
      </c>
      <c r="S532" t="s">
        <v>74</v>
      </c>
      <c r="T532" t="s">
        <v>74</v>
      </c>
      <c r="U532" t="s">
        <v>8636</v>
      </c>
      <c r="V532" t="s">
        <v>8637</v>
      </c>
      <c r="W532" t="s">
        <v>8638</v>
      </c>
      <c r="X532" t="s">
        <v>8639</v>
      </c>
      <c r="Y532" t="s">
        <v>8640</v>
      </c>
      <c r="Z532" t="s">
        <v>8641</v>
      </c>
      <c r="AA532" t="s">
        <v>8642</v>
      </c>
      <c r="AB532" t="s">
        <v>8643</v>
      </c>
      <c r="AC532" t="s">
        <v>8644</v>
      </c>
      <c r="AD532" t="s">
        <v>426</v>
      </c>
      <c r="AE532" t="s">
        <v>74</v>
      </c>
      <c r="AF532" t="s">
        <v>74</v>
      </c>
      <c r="AG532">
        <v>46</v>
      </c>
      <c r="AH532">
        <v>19</v>
      </c>
      <c r="AI532">
        <v>23</v>
      </c>
      <c r="AJ532">
        <v>2</v>
      </c>
      <c r="AK532">
        <v>27</v>
      </c>
      <c r="AL532" t="s">
        <v>337</v>
      </c>
      <c r="AM532" t="s">
        <v>142</v>
      </c>
      <c r="AN532" t="s">
        <v>338</v>
      </c>
      <c r="AO532" t="s">
        <v>5342</v>
      </c>
      <c r="AP532" t="s">
        <v>5343</v>
      </c>
      <c r="AQ532" t="s">
        <v>74</v>
      </c>
      <c r="AR532" t="s">
        <v>5344</v>
      </c>
      <c r="AS532" t="s">
        <v>5345</v>
      </c>
      <c r="AT532" t="s">
        <v>8388</v>
      </c>
      <c r="AU532">
        <v>2007</v>
      </c>
      <c r="AV532">
        <v>41</v>
      </c>
      <c r="AW532">
        <v>7</v>
      </c>
      <c r="AX532" t="s">
        <v>74</v>
      </c>
      <c r="AY532" t="s">
        <v>74</v>
      </c>
      <c r="AZ532" t="s">
        <v>74</v>
      </c>
      <c r="BA532" t="s">
        <v>74</v>
      </c>
      <c r="BB532">
        <v>2296</v>
      </c>
      <c r="BC532">
        <v>2302</v>
      </c>
      <c r="BD532" t="s">
        <v>74</v>
      </c>
      <c r="BE532" t="s">
        <v>8645</v>
      </c>
      <c r="BF532" t="str">
        <f>HYPERLINK("http://dx.doi.org/10.1021/es061994h","http://dx.doi.org/10.1021/es061994h")</f>
        <v>http://dx.doi.org/10.1021/es061994h</v>
      </c>
      <c r="BG532" t="s">
        <v>74</v>
      </c>
      <c r="BH532" t="s">
        <v>74</v>
      </c>
      <c r="BI532">
        <v>7</v>
      </c>
      <c r="BJ532" t="s">
        <v>5347</v>
      </c>
      <c r="BK532" t="s">
        <v>98</v>
      </c>
      <c r="BL532" t="s">
        <v>5348</v>
      </c>
      <c r="BM532" t="s">
        <v>8631</v>
      </c>
      <c r="BN532">
        <v>17438778</v>
      </c>
      <c r="BO532" t="s">
        <v>74</v>
      </c>
      <c r="BP532" t="s">
        <v>74</v>
      </c>
      <c r="BQ532" t="s">
        <v>74</v>
      </c>
      <c r="BR532" t="s">
        <v>101</v>
      </c>
      <c r="BS532" t="s">
        <v>8646</v>
      </c>
      <c r="BT532" t="str">
        <f>HYPERLINK("https%3A%2F%2Fwww.webofscience.com%2Fwos%2Fwoscc%2Ffull-record%2FWOS:000245258900041","View Full Record in Web of Science")</f>
        <v>View Full Record in Web of Science</v>
      </c>
    </row>
    <row r="533" spans="1:72" x14ac:dyDescent="0.15">
      <c r="A533" t="s">
        <v>72</v>
      </c>
      <c r="B533" t="s">
        <v>8647</v>
      </c>
      <c r="C533" t="s">
        <v>74</v>
      </c>
      <c r="D533" t="s">
        <v>74</v>
      </c>
      <c r="E533" t="s">
        <v>74</v>
      </c>
      <c r="F533" t="s">
        <v>8648</v>
      </c>
      <c r="G533" t="s">
        <v>74</v>
      </c>
      <c r="H533" t="s">
        <v>74</v>
      </c>
      <c r="I533" t="s">
        <v>8649</v>
      </c>
      <c r="J533" t="s">
        <v>5333</v>
      </c>
      <c r="K533" t="s">
        <v>74</v>
      </c>
      <c r="L533" t="s">
        <v>74</v>
      </c>
      <c r="M533" t="s">
        <v>78</v>
      </c>
      <c r="N533" t="s">
        <v>79</v>
      </c>
      <c r="O533" t="s">
        <v>74</v>
      </c>
      <c r="P533" t="s">
        <v>74</v>
      </c>
      <c r="Q533" t="s">
        <v>74</v>
      </c>
      <c r="R533" t="s">
        <v>74</v>
      </c>
      <c r="S533" t="s">
        <v>74</v>
      </c>
      <c r="T533" t="s">
        <v>74</v>
      </c>
      <c r="U533" t="s">
        <v>8650</v>
      </c>
      <c r="V533" t="s">
        <v>8651</v>
      </c>
      <c r="W533" t="s">
        <v>8652</v>
      </c>
      <c r="X533" t="s">
        <v>8653</v>
      </c>
      <c r="Y533" t="s">
        <v>8654</v>
      </c>
      <c r="Z533" t="s">
        <v>8655</v>
      </c>
      <c r="AA533" t="s">
        <v>8656</v>
      </c>
      <c r="AB533" t="s">
        <v>8657</v>
      </c>
      <c r="AC533" t="s">
        <v>74</v>
      </c>
      <c r="AD533" t="s">
        <v>74</v>
      </c>
      <c r="AE533" t="s">
        <v>74</v>
      </c>
      <c r="AF533" t="s">
        <v>74</v>
      </c>
      <c r="AG533">
        <v>31</v>
      </c>
      <c r="AH533">
        <v>20</v>
      </c>
      <c r="AI533">
        <v>23</v>
      </c>
      <c r="AJ533">
        <v>2</v>
      </c>
      <c r="AK533">
        <v>28</v>
      </c>
      <c r="AL533" t="s">
        <v>337</v>
      </c>
      <c r="AM533" t="s">
        <v>142</v>
      </c>
      <c r="AN533" t="s">
        <v>338</v>
      </c>
      <c r="AO533" t="s">
        <v>5342</v>
      </c>
      <c r="AP533" t="s">
        <v>5343</v>
      </c>
      <c r="AQ533" t="s">
        <v>74</v>
      </c>
      <c r="AR533" t="s">
        <v>5344</v>
      </c>
      <c r="AS533" t="s">
        <v>5345</v>
      </c>
      <c r="AT533" t="s">
        <v>8388</v>
      </c>
      <c r="AU533">
        <v>2007</v>
      </c>
      <c r="AV533">
        <v>41</v>
      </c>
      <c r="AW533">
        <v>7</v>
      </c>
      <c r="AX533" t="s">
        <v>74</v>
      </c>
      <c r="AY533" t="s">
        <v>74</v>
      </c>
      <c r="AZ533" t="s">
        <v>74</v>
      </c>
      <c r="BA533" t="s">
        <v>74</v>
      </c>
      <c r="BB533">
        <v>2452</v>
      </c>
      <c r="BC533">
        <v>2458</v>
      </c>
      <c r="BD533" t="s">
        <v>74</v>
      </c>
      <c r="BE533" t="s">
        <v>8658</v>
      </c>
      <c r="BF533" t="str">
        <f>HYPERLINK("http://dx.doi.org/10.1021/es0621288","http://dx.doi.org/10.1021/es0621288")</f>
        <v>http://dx.doi.org/10.1021/es0621288</v>
      </c>
      <c r="BG533" t="s">
        <v>74</v>
      </c>
      <c r="BH533" t="s">
        <v>74</v>
      </c>
      <c r="BI533">
        <v>7</v>
      </c>
      <c r="BJ533" t="s">
        <v>5347</v>
      </c>
      <c r="BK533" t="s">
        <v>98</v>
      </c>
      <c r="BL533" t="s">
        <v>5348</v>
      </c>
      <c r="BM533" t="s">
        <v>8631</v>
      </c>
      <c r="BN533">
        <v>17438799</v>
      </c>
      <c r="BO533" t="s">
        <v>74</v>
      </c>
      <c r="BP533" t="s">
        <v>74</v>
      </c>
      <c r="BQ533" t="s">
        <v>74</v>
      </c>
      <c r="BR533" t="s">
        <v>101</v>
      </c>
      <c r="BS533" t="s">
        <v>8659</v>
      </c>
      <c r="BT533" t="str">
        <f>HYPERLINK("https%3A%2F%2Fwww.webofscience.com%2Fwos%2Fwoscc%2Ffull-record%2FWOS:000245258900063","View Full Record in Web of Science")</f>
        <v>View Full Record in Web of Science</v>
      </c>
    </row>
    <row r="534" spans="1:72" x14ac:dyDescent="0.15">
      <c r="A534" t="s">
        <v>72</v>
      </c>
      <c r="B534" t="s">
        <v>8660</v>
      </c>
      <c r="C534" t="s">
        <v>74</v>
      </c>
      <c r="D534" t="s">
        <v>74</v>
      </c>
      <c r="E534" t="s">
        <v>74</v>
      </c>
      <c r="F534" t="s">
        <v>8661</v>
      </c>
      <c r="G534" t="s">
        <v>74</v>
      </c>
      <c r="H534" t="s">
        <v>74</v>
      </c>
      <c r="I534" t="s">
        <v>8662</v>
      </c>
      <c r="J534" t="s">
        <v>7341</v>
      </c>
      <c r="K534" t="s">
        <v>74</v>
      </c>
      <c r="L534" t="s">
        <v>74</v>
      </c>
      <c r="M534" t="s">
        <v>78</v>
      </c>
      <c r="N534" t="s">
        <v>79</v>
      </c>
      <c r="O534" t="s">
        <v>74</v>
      </c>
      <c r="P534" t="s">
        <v>74</v>
      </c>
      <c r="Q534" t="s">
        <v>74</v>
      </c>
      <c r="R534" t="s">
        <v>74</v>
      </c>
      <c r="S534" t="s">
        <v>74</v>
      </c>
      <c r="T534" t="s">
        <v>8663</v>
      </c>
      <c r="U534" t="s">
        <v>8664</v>
      </c>
      <c r="V534" t="s">
        <v>8665</v>
      </c>
      <c r="W534" t="s">
        <v>8666</v>
      </c>
      <c r="X534" t="s">
        <v>8667</v>
      </c>
      <c r="Y534" t="s">
        <v>8668</v>
      </c>
      <c r="Z534" t="s">
        <v>8669</v>
      </c>
      <c r="AA534" t="s">
        <v>8670</v>
      </c>
      <c r="AB534" t="s">
        <v>8671</v>
      </c>
      <c r="AC534" t="s">
        <v>74</v>
      </c>
      <c r="AD534" t="s">
        <v>74</v>
      </c>
      <c r="AE534" t="s">
        <v>74</v>
      </c>
      <c r="AF534" t="s">
        <v>74</v>
      </c>
      <c r="AG534">
        <v>28</v>
      </c>
      <c r="AH534">
        <v>7</v>
      </c>
      <c r="AI534">
        <v>8</v>
      </c>
      <c r="AJ534">
        <v>0</v>
      </c>
      <c r="AK534">
        <v>5</v>
      </c>
      <c r="AL534" t="s">
        <v>8672</v>
      </c>
      <c r="AM534" t="s">
        <v>8673</v>
      </c>
      <c r="AN534" t="s">
        <v>8674</v>
      </c>
      <c r="AO534" t="s">
        <v>7350</v>
      </c>
      <c r="AP534" t="s">
        <v>74</v>
      </c>
      <c r="AQ534" t="s">
        <v>74</v>
      </c>
      <c r="AR534" t="s">
        <v>7352</v>
      </c>
      <c r="AS534" t="s">
        <v>7353</v>
      </c>
      <c r="AT534" t="s">
        <v>8354</v>
      </c>
      <c r="AU534">
        <v>2007</v>
      </c>
      <c r="AV534">
        <v>26</v>
      </c>
      <c r="AW534">
        <v>4</v>
      </c>
      <c r="AX534" t="s">
        <v>74</v>
      </c>
      <c r="AY534" t="s">
        <v>74</v>
      </c>
      <c r="AZ534" t="s">
        <v>74</v>
      </c>
      <c r="BA534" t="s">
        <v>74</v>
      </c>
      <c r="BB534">
        <v>647</v>
      </c>
      <c r="BC534">
        <v>654</v>
      </c>
      <c r="BD534" t="s">
        <v>74</v>
      </c>
      <c r="BE534" t="s">
        <v>8675</v>
      </c>
      <c r="BF534" t="str">
        <f>HYPERLINK("http://dx.doi.org/10.1897/06-436R.1","http://dx.doi.org/10.1897/06-436R.1")</f>
        <v>http://dx.doi.org/10.1897/06-436R.1</v>
      </c>
      <c r="BG534" t="s">
        <v>74</v>
      </c>
      <c r="BH534" t="s">
        <v>74</v>
      </c>
      <c r="BI534">
        <v>8</v>
      </c>
      <c r="BJ534" t="s">
        <v>7355</v>
      </c>
      <c r="BK534" t="s">
        <v>98</v>
      </c>
      <c r="BL534" t="s">
        <v>7356</v>
      </c>
      <c r="BM534" t="s">
        <v>8676</v>
      </c>
      <c r="BN534">
        <v>17447548</v>
      </c>
      <c r="BO534" t="s">
        <v>74</v>
      </c>
      <c r="BP534" t="s">
        <v>74</v>
      </c>
      <c r="BQ534" t="s">
        <v>74</v>
      </c>
      <c r="BR534" t="s">
        <v>101</v>
      </c>
      <c r="BS534" t="s">
        <v>8677</v>
      </c>
      <c r="BT534" t="str">
        <f>HYPERLINK("https%3A%2F%2Fwww.webofscience.com%2Fwos%2Fwoscc%2Ffull-record%2FWOS:000244938200009","View Full Record in Web of Science")</f>
        <v>View Full Record in Web of Science</v>
      </c>
    </row>
    <row r="535" spans="1:72" x14ac:dyDescent="0.15">
      <c r="A535" t="s">
        <v>72</v>
      </c>
      <c r="B535" t="s">
        <v>8678</v>
      </c>
      <c r="C535" t="s">
        <v>74</v>
      </c>
      <c r="D535" t="s">
        <v>74</v>
      </c>
      <c r="E535" t="s">
        <v>74</v>
      </c>
      <c r="F535" t="s">
        <v>8679</v>
      </c>
      <c r="G535" t="s">
        <v>74</v>
      </c>
      <c r="H535" t="s">
        <v>74</v>
      </c>
      <c r="I535" t="s">
        <v>8680</v>
      </c>
      <c r="J535" t="s">
        <v>8681</v>
      </c>
      <c r="K535" t="s">
        <v>74</v>
      </c>
      <c r="L535" t="s">
        <v>74</v>
      </c>
      <c r="M535" t="s">
        <v>78</v>
      </c>
      <c r="N535" t="s">
        <v>79</v>
      </c>
      <c r="O535" t="s">
        <v>74</v>
      </c>
      <c r="P535" t="s">
        <v>74</v>
      </c>
      <c r="Q535" t="s">
        <v>74</v>
      </c>
      <c r="R535" t="s">
        <v>74</v>
      </c>
      <c r="S535" t="s">
        <v>74</v>
      </c>
      <c r="T535" t="s">
        <v>74</v>
      </c>
      <c r="U535" t="s">
        <v>74</v>
      </c>
      <c r="V535" t="s">
        <v>8682</v>
      </c>
      <c r="W535" t="s">
        <v>8683</v>
      </c>
      <c r="X535" t="s">
        <v>8684</v>
      </c>
      <c r="Y535" t="s">
        <v>8685</v>
      </c>
      <c r="Z535" t="s">
        <v>74</v>
      </c>
      <c r="AA535" t="s">
        <v>74</v>
      </c>
      <c r="AB535" t="s">
        <v>74</v>
      </c>
      <c r="AC535" t="s">
        <v>74</v>
      </c>
      <c r="AD535" t="s">
        <v>74</v>
      </c>
      <c r="AE535" t="s">
        <v>74</v>
      </c>
      <c r="AF535" t="s">
        <v>74</v>
      </c>
      <c r="AG535">
        <v>110</v>
      </c>
      <c r="AH535">
        <v>22</v>
      </c>
      <c r="AI535">
        <v>31</v>
      </c>
      <c r="AJ535">
        <v>0</v>
      </c>
      <c r="AK535">
        <v>0</v>
      </c>
      <c r="AL535" t="s">
        <v>1202</v>
      </c>
      <c r="AM535" t="s">
        <v>1203</v>
      </c>
      <c r="AN535" t="s">
        <v>1204</v>
      </c>
      <c r="AO535" t="s">
        <v>8686</v>
      </c>
      <c r="AP535" t="s">
        <v>8687</v>
      </c>
      <c r="AQ535" t="s">
        <v>74</v>
      </c>
      <c r="AR535" t="s">
        <v>8688</v>
      </c>
      <c r="AS535" t="s">
        <v>8689</v>
      </c>
      <c r="AT535" t="s">
        <v>8354</v>
      </c>
      <c r="AU535">
        <v>2007</v>
      </c>
      <c r="AV535">
        <v>19</v>
      </c>
      <c r="AW535">
        <v>1</v>
      </c>
      <c r="AX535" t="s">
        <v>74</v>
      </c>
      <c r="AY535" t="s">
        <v>74</v>
      </c>
      <c r="AZ535" t="s">
        <v>74</v>
      </c>
      <c r="BA535" t="s">
        <v>74</v>
      </c>
      <c r="BB535">
        <v>163</v>
      </c>
      <c r="BC535" t="s">
        <v>5541</v>
      </c>
      <c r="BD535" t="s">
        <v>74</v>
      </c>
      <c r="BE535" t="s">
        <v>8690</v>
      </c>
      <c r="BF535" t="str">
        <f>HYPERLINK("http://dx.doi.org/10.1111/j.1468-0424.2007.00469.x","http://dx.doi.org/10.1111/j.1468-0424.2007.00469.x")</f>
        <v>http://dx.doi.org/10.1111/j.1468-0424.2007.00469.x</v>
      </c>
      <c r="BG535" t="s">
        <v>74</v>
      </c>
      <c r="BH535" t="s">
        <v>74</v>
      </c>
      <c r="BI535">
        <v>24</v>
      </c>
      <c r="BJ535" t="s">
        <v>8691</v>
      </c>
      <c r="BK535" t="s">
        <v>4083</v>
      </c>
      <c r="BL535" t="s">
        <v>8691</v>
      </c>
      <c r="BM535" t="s">
        <v>8692</v>
      </c>
      <c r="BN535" t="s">
        <v>74</v>
      </c>
      <c r="BO535" t="s">
        <v>74</v>
      </c>
      <c r="BP535" t="s">
        <v>74</v>
      </c>
      <c r="BQ535" t="s">
        <v>74</v>
      </c>
      <c r="BR535" t="s">
        <v>101</v>
      </c>
      <c r="BS535" t="s">
        <v>8693</v>
      </c>
      <c r="BT535" t="str">
        <f>HYPERLINK("https%3A%2F%2Fwww.webofscience.com%2Fwos%2Fwoscc%2Ffull-record%2FWOS:000211072600009","View Full Record in Web of Science")</f>
        <v>View Full Record in Web of Science</v>
      </c>
    </row>
    <row r="536" spans="1:72" x14ac:dyDescent="0.15">
      <c r="A536" t="s">
        <v>72</v>
      </c>
      <c r="B536" t="s">
        <v>8694</v>
      </c>
      <c r="C536" t="s">
        <v>74</v>
      </c>
      <c r="D536" t="s">
        <v>74</v>
      </c>
      <c r="E536" t="s">
        <v>74</v>
      </c>
      <c r="F536" t="s">
        <v>8695</v>
      </c>
      <c r="G536" t="s">
        <v>74</v>
      </c>
      <c r="H536" t="s">
        <v>74</v>
      </c>
      <c r="I536" t="s">
        <v>8696</v>
      </c>
      <c r="J536" t="s">
        <v>8697</v>
      </c>
      <c r="K536" t="s">
        <v>74</v>
      </c>
      <c r="L536" t="s">
        <v>74</v>
      </c>
      <c r="M536" t="s">
        <v>78</v>
      </c>
      <c r="N536" t="s">
        <v>514</v>
      </c>
      <c r="O536" t="s">
        <v>8698</v>
      </c>
      <c r="P536" t="s">
        <v>8699</v>
      </c>
      <c r="Q536" t="s">
        <v>8700</v>
      </c>
      <c r="R536" t="s">
        <v>74</v>
      </c>
      <c r="S536" t="s">
        <v>74</v>
      </c>
      <c r="T536" t="s">
        <v>8701</v>
      </c>
      <c r="U536" t="s">
        <v>8702</v>
      </c>
      <c r="V536" t="s">
        <v>8703</v>
      </c>
      <c r="W536" t="s">
        <v>8704</v>
      </c>
      <c r="X536" t="s">
        <v>1257</v>
      </c>
      <c r="Y536" t="s">
        <v>8705</v>
      </c>
      <c r="Z536" t="s">
        <v>8706</v>
      </c>
      <c r="AA536" t="s">
        <v>74</v>
      </c>
      <c r="AB536" t="s">
        <v>74</v>
      </c>
      <c r="AC536" t="s">
        <v>74</v>
      </c>
      <c r="AD536" t="s">
        <v>74</v>
      </c>
      <c r="AE536" t="s">
        <v>74</v>
      </c>
      <c r="AF536" t="s">
        <v>74</v>
      </c>
      <c r="AG536">
        <v>43</v>
      </c>
      <c r="AH536">
        <v>9</v>
      </c>
      <c r="AI536">
        <v>13</v>
      </c>
      <c r="AJ536">
        <v>0</v>
      </c>
      <c r="AK536">
        <v>4</v>
      </c>
      <c r="AL536" t="s">
        <v>8707</v>
      </c>
      <c r="AM536" t="s">
        <v>8708</v>
      </c>
      <c r="AN536" t="s">
        <v>8709</v>
      </c>
      <c r="AO536" t="s">
        <v>8710</v>
      </c>
      <c r="AP536" t="s">
        <v>74</v>
      </c>
      <c r="AQ536" t="s">
        <v>74</v>
      </c>
      <c r="AR536" t="s">
        <v>8711</v>
      </c>
      <c r="AS536" t="s">
        <v>8712</v>
      </c>
      <c r="AT536" t="s">
        <v>8354</v>
      </c>
      <c r="AU536">
        <v>2007</v>
      </c>
      <c r="AV536">
        <v>42</v>
      </c>
      <c r="AW536">
        <v>2</v>
      </c>
      <c r="AX536" t="s">
        <v>74</v>
      </c>
      <c r="AY536" t="s">
        <v>74</v>
      </c>
      <c r="AZ536" t="s">
        <v>74</v>
      </c>
      <c r="BA536" t="s">
        <v>74</v>
      </c>
      <c r="BB536">
        <v>113</v>
      </c>
      <c r="BC536">
        <v>125</v>
      </c>
      <c r="BD536" t="s">
        <v>74</v>
      </c>
      <c r="BE536" t="s">
        <v>8713</v>
      </c>
      <c r="BF536" t="str">
        <f>HYPERLINK("http://dx.doi.org/10.1002/gj.1067","http://dx.doi.org/10.1002/gj.1067")</f>
        <v>http://dx.doi.org/10.1002/gj.1067</v>
      </c>
      <c r="BG536" t="s">
        <v>74</v>
      </c>
      <c r="BH536" t="s">
        <v>74</v>
      </c>
      <c r="BI536">
        <v>13</v>
      </c>
      <c r="BJ536" t="s">
        <v>151</v>
      </c>
      <c r="BK536" t="s">
        <v>745</v>
      </c>
      <c r="BL536" t="s">
        <v>152</v>
      </c>
      <c r="BM536" t="s">
        <v>8714</v>
      </c>
      <c r="BN536" t="s">
        <v>74</v>
      </c>
      <c r="BO536" t="s">
        <v>74</v>
      </c>
      <c r="BP536" t="s">
        <v>74</v>
      </c>
      <c r="BQ536" t="s">
        <v>74</v>
      </c>
      <c r="BR536" t="s">
        <v>101</v>
      </c>
      <c r="BS536" t="s">
        <v>8715</v>
      </c>
      <c r="BT536" t="str">
        <f>HYPERLINK("https%3A%2F%2Fwww.webofscience.com%2Fwos%2Fwoscc%2Ffull-record%2FWOS:000246164300002","View Full Record in Web of Science")</f>
        <v>View Full Record in Web of Science</v>
      </c>
    </row>
    <row r="537" spans="1:72" x14ac:dyDescent="0.15">
      <c r="A537" t="s">
        <v>72</v>
      </c>
      <c r="B537" t="s">
        <v>8716</v>
      </c>
      <c r="C537" t="s">
        <v>74</v>
      </c>
      <c r="D537" t="s">
        <v>74</v>
      </c>
      <c r="E537" t="s">
        <v>74</v>
      </c>
      <c r="F537" t="s">
        <v>8717</v>
      </c>
      <c r="G537" t="s">
        <v>74</v>
      </c>
      <c r="H537" t="s">
        <v>74</v>
      </c>
      <c r="I537" t="s">
        <v>8718</v>
      </c>
      <c r="J537" t="s">
        <v>8697</v>
      </c>
      <c r="K537" t="s">
        <v>74</v>
      </c>
      <c r="L537" t="s">
        <v>74</v>
      </c>
      <c r="M537" t="s">
        <v>78</v>
      </c>
      <c r="N537" t="s">
        <v>514</v>
      </c>
      <c r="O537" t="s">
        <v>8719</v>
      </c>
      <c r="P537" t="s">
        <v>8699</v>
      </c>
      <c r="Q537" t="s">
        <v>8700</v>
      </c>
      <c r="R537" t="s">
        <v>74</v>
      </c>
      <c r="S537" t="s">
        <v>74</v>
      </c>
      <c r="T537" t="s">
        <v>8720</v>
      </c>
      <c r="U537" t="s">
        <v>8721</v>
      </c>
      <c r="V537" t="s">
        <v>8722</v>
      </c>
      <c r="W537" t="s">
        <v>8723</v>
      </c>
      <c r="X537" t="s">
        <v>8724</v>
      </c>
      <c r="Y537" t="s">
        <v>8725</v>
      </c>
      <c r="Z537" t="s">
        <v>8726</v>
      </c>
      <c r="AA537" t="s">
        <v>8727</v>
      </c>
      <c r="AB537" t="s">
        <v>8728</v>
      </c>
      <c r="AC537" t="s">
        <v>74</v>
      </c>
      <c r="AD537" t="s">
        <v>74</v>
      </c>
      <c r="AE537" t="s">
        <v>74</v>
      </c>
      <c r="AF537" t="s">
        <v>74</v>
      </c>
      <c r="AG537">
        <v>55</v>
      </c>
      <c r="AH537">
        <v>25</v>
      </c>
      <c r="AI537">
        <v>30</v>
      </c>
      <c r="AJ537">
        <v>0</v>
      </c>
      <c r="AK537">
        <v>5</v>
      </c>
      <c r="AL537" t="s">
        <v>1202</v>
      </c>
      <c r="AM537" t="s">
        <v>1203</v>
      </c>
      <c r="AN537" t="s">
        <v>1204</v>
      </c>
      <c r="AO537" t="s">
        <v>8710</v>
      </c>
      <c r="AP537" t="s">
        <v>8729</v>
      </c>
      <c r="AQ537" t="s">
        <v>74</v>
      </c>
      <c r="AR537" t="s">
        <v>8711</v>
      </c>
      <c r="AS537" t="s">
        <v>8712</v>
      </c>
      <c r="AT537" t="s">
        <v>8354</v>
      </c>
      <c r="AU537">
        <v>2007</v>
      </c>
      <c r="AV537">
        <v>42</v>
      </c>
      <c r="AW537">
        <v>2</v>
      </c>
      <c r="AX537" t="s">
        <v>74</v>
      </c>
      <c r="AY537" t="s">
        <v>74</v>
      </c>
      <c r="AZ537" t="s">
        <v>74</v>
      </c>
      <c r="BA537" t="s">
        <v>74</v>
      </c>
      <c r="BB537">
        <v>127</v>
      </c>
      <c r="BC537">
        <v>142</v>
      </c>
      <c r="BD537" t="s">
        <v>74</v>
      </c>
      <c r="BE537" t="s">
        <v>8730</v>
      </c>
      <c r="BF537" t="str">
        <f>HYPERLINK("http://dx.doi.org/10.1002/gj.1080","http://dx.doi.org/10.1002/gj.1080")</f>
        <v>http://dx.doi.org/10.1002/gj.1080</v>
      </c>
      <c r="BG537" t="s">
        <v>74</v>
      </c>
      <c r="BH537" t="s">
        <v>74</v>
      </c>
      <c r="BI537">
        <v>16</v>
      </c>
      <c r="BJ537" t="s">
        <v>151</v>
      </c>
      <c r="BK537" t="s">
        <v>535</v>
      </c>
      <c r="BL537" t="s">
        <v>152</v>
      </c>
      <c r="BM537" t="s">
        <v>8714</v>
      </c>
      <c r="BN537" t="s">
        <v>74</v>
      </c>
      <c r="BO537" t="s">
        <v>198</v>
      </c>
      <c r="BP537" t="s">
        <v>74</v>
      </c>
      <c r="BQ537" t="s">
        <v>74</v>
      </c>
      <c r="BR537" t="s">
        <v>101</v>
      </c>
      <c r="BS537" t="s">
        <v>8731</v>
      </c>
      <c r="BT537" t="str">
        <f>HYPERLINK("https%3A%2F%2Fwww.webofscience.com%2Fwos%2Fwoscc%2Ffull-record%2FWOS:000246164300003","View Full Record in Web of Science")</f>
        <v>View Full Record in Web of Science</v>
      </c>
    </row>
    <row r="538" spans="1:72" x14ac:dyDescent="0.15">
      <c r="A538" t="s">
        <v>72</v>
      </c>
      <c r="B538" t="s">
        <v>8732</v>
      </c>
      <c r="C538" t="s">
        <v>74</v>
      </c>
      <c r="D538" t="s">
        <v>74</v>
      </c>
      <c r="E538" t="s">
        <v>74</v>
      </c>
      <c r="F538" t="s">
        <v>8733</v>
      </c>
      <c r="G538" t="s">
        <v>74</v>
      </c>
      <c r="H538" t="s">
        <v>74</v>
      </c>
      <c r="I538" t="s">
        <v>8734</v>
      </c>
      <c r="J538" t="s">
        <v>8697</v>
      </c>
      <c r="K538" t="s">
        <v>74</v>
      </c>
      <c r="L538" t="s">
        <v>74</v>
      </c>
      <c r="M538" t="s">
        <v>78</v>
      </c>
      <c r="N538" t="s">
        <v>514</v>
      </c>
      <c r="O538" t="s">
        <v>8719</v>
      </c>
      <c r="P538" t="s">
        <v>8699</v>
      </c>
      <c r="Q538" t="s">
        <v>8700</v>
      </c>
      <c r="R538" t="s">
        <v>74</v>
      </c>
      <c r="S538" t="s">
        <v>74</v>
      </c>
      <c r="T538" t="s">
        <v>8735</v>
      </c>
      <c r="U538" t="s">
        <v>8736</v>
      </c>
      <c r="V538" t="s">
        <v>8737</v>
      </c>
      <c r="W538" t="s">
        <v>8738</v>
      </c>
      <c r="X538" t="s">
        <v>8739</v>
      </c>
      <c r="Y538" t="s">
        <v>8740</v>
      </c>
      <c r="Z538" t="s">
        <v>8741</v>
      </c>
      <c r="AA538" t="s">
        <v>8742</v>
      </c>
      <c r="AB538" t="s">
        <v>8743</v>
      </c>
      <c r="AC538" t="s">
        <v>74</v>
      </c>
      <c r="AD538" t="s">
        <v>74</v>
      </c>
      <c r="AE538" t="s">
        <v>74</v>
      </c>
      <c r="AF538" t="s">
        <v>74</v>
      </c>
      <c r="AG538">
        <v>102</v>
      </c>
      <c r="AH538">
        <v>87</v>
      </c>
      <c r="AI538">
        <v>95</v>
      </c>
      <c r="AJ538">
        <v>0</v>
      </c>
      <c r="AK538">
        <v>4</v>
      </c>
      <c r="AL538" t="s">
        <v>1202</v>
      </c>
      <c r="AM538" t="s">
        <v>1203</v>
      </c>
      <c r="AN538" t="s">
        <v>1204</v>
      </c>
      <c r="AO538" t="s">
        <v>8710</v>
      </c>
      <c r="AP538" t="s">
        <v>8729</v>
      </c>
      <c r="AQ538" t="s">
        <v>74</v>
      </c>
      <c r="AR538" t="s">
        <v>8711</v>
      </c>
      <c r="AS538" t="s">
        <v>8712</v>
      </c>
      <c r="AT538" t="s">
        <v>8354</v>
      </c>
      <c r="AU538">
        <v>2007</v>
      </c>
      <c r="AV538">
        <v>42</v>
      </c>
      <c r="AW538">
        <v>2</v>
      </c>
      <c r="AX538" t="s">
        <v>74</v>
      </c>
      <c r="AY538" t="s">
        <v>74</v>
      </c>
      <c r="AZ538" t="s">
        <v>74</v>
      </c>
      <c r="BA538" t="s">
        <v>74</v>
      </c>
      <c r="BB538">
        <v>143</v>
      </c>
      <c r="BC538">
        <v>173</v>
      </c>
      <c r="BD538" t="s">
        <v>74</v>
      </c>
      <c r="BE538" t="s">
        <v>8744</v>
      </c>
      <c r="BF538" t="str">
        <f>HYPERLINK("http://dx.doi.org/10.1002/gj.1068","http://dx.doi.org/10.1002/gj.1068")</f>
        <v>http://dx.doi.org/10.1002/gj.1068</v>
      </c>
      <c r="BG538" t="s">
        <v>74</v>
      </c>
      <c r="BH538" t="s">
        <v>74</v>
      </c>
      <c r="BI538">
        <v>31</v>
      </c>
      <c r="BJ538" t="s">
        <v>151</v>
      </c>
      <c r="BK538" t="s">
        <v>535</v>
      </c>
      <c r="BL538" t="s">
        <v>152</v>
      </c>
      <c r="BM538" t="s">
        <v>8714</v>
      </c>
      <c r="BN538" t="s">
        <v>74</v>
      </c>
      <c r="BO538" t="s">
        <v>198</v>
      </c>
      <c r="BP538" t="s">
        <v>74</v>
      </c>
      <c r="BQ538" t="s">
        <v>74</v>
      </c>
      <c r="BR538" t="s">
        <v>101</v>
      </c>
      <c r="BS538" t="s">
        <v>8745</v>
      </c>
      <c r="BT538" t="str">
        <f>HYPERLINK("https%3A%2F%2Fwww.webofscience.com%2Fwos%2Fwoscc%2Ffull-record%2FWOS:000246164300004","View Full Record in Web of Science")</f>
        <v>View Full Record in Web of Science</v>
      </c>
    </row>
    <row r="539" spans="1:72" x14ac:dyDescent="0.15">
      <c r="A539" t="s">
        <v>72</v>
      </c>
      <c r="B539" t="s">
        <v>8746</v>
      </c>
      <c r="C539" t="s">
        <v>74</v>
      </c>
      <c r="D539" t="s">
        <v>74</v>
      </c>
      <c r="E539" t="s">
        <v>74</v>
      </c>
      <c r="F539" t="s">
        <v>8747</v>
      </c>
      <c r="G539" t="s">
        <v>74</v>
      </c>
      <c r="H539" t="s">
        <v>74</v>
      </c>
      <c r="I539" t="s">
        <v>8748</v>
      </c>
      <c r="J539" t="s">
        <v>8697</v>
      </c>
      <c r="K539" t="s">
        <v>74</v>
      </c>
      <c r="L539" t="s">
        <v>74</v>
      </c>
      <c r="M539" t="s">
        <v>78</v>
      </c>
      <c r="N539" t="s">
        <v>514</v>
      </c>
      <c r="O539" t="s">
        <v>8719</v>
      </c>
      <c r="P539" t="s">
        <v>8699</v>
      </c>
      <c r="Q539" t="s">
        <v>8700</v>
      </c>
      <c r="R539" t="s">
        <v>74</v>
      </c>
      <c r="S539" t="s">
        <v>74</v>
      </c>
      <c r="T539" t="s">
        <v>8749</v>
      </c>
      <c r="U539" t="s">
        <v>8750</v>
      </c>
      <c r="V539" t="s">
        <v>8751</v>
      </c>
      <c r="W539" t="s">
        <v>8752</v>
      </c>
      <c r="X539" t="s">
        <v>8753</v>
      </c>
      <c r="Y539" t="s">
        <v>8754</v>
      </c>
      <c r="Z539" t="s">
        <v>8755</v>
      </c>
      <c r="AA539" t="s">
        <v>74</v>
      </c>
      <c r="AB539" t="s">
        <v>74</v>
      </c>
      <c r="AC539" t="s">
        <v>74</v>
      </c>
      <c r="AD539" t="s">
        <v>74</v>
      </c>
      <c r="AE539" t="s">
        <v>74</v>
      </c>
      <c r="AF539" t="s">
        <v>74</v>
      </c>
      <c r="AG539">
        <v>45</v>
      </c>
      <c r="AH539">
        <v>27</v>
      </c>
      <c r="AI539">
        <v>29</v>
      </c>
      <c r="AJ539">
        <v>0</v>
      </c>
      <c r="AK539">
        <v>6</v>
      </c>
      <c r="AL539" t="s">
        <v>1202</v>
      </c>
      <c r="AM539" t="s">
        <v>1203</v>
      </c>
      <c r="AN539" t="s">
        <v>1204</v>
      </c>
      <c r="AO539" t="s">
        <v>8710</v>
      </c>
      <c r="AP539" t="s">
        <v>8729</v>
      </c>
      <c r="AQ539" t="s">
        <v>74</v>
      </c>
      <c r="AR539" t="s">
        <v>8711</v>
      </c>
      <c r="AS539" t="s">
        <v>8712</v>
      </c>
      <c r="AT539" t="s">
        <v>8354</v>
      </c>
      <c r="AU539">
        <v>2007</v>
      </c>
      <c r="AV539">
        <v>42</v>
      </c>
      <c r="AW539">
        <v>2</v>
      </c>
      <c r="AX539" t="s">
        <v>74</v>
      </c>
      <c r="AY539" t="s">
        <v>74</v>
      </c>
      <c r="AZ539" t="s">
        <v>74</v>
      </c>
      <c r="BA539" t="s">
        <v>74</v>
      </c>
      <c r="BB539">
        <v>185</v>
      </c>
      <c r="BC539">
        <v>202</v>
      </c>
      <c r="BD539" t="s">
        <v>74</v>
      </c>
      <c r="BE539" t="s">
        <v>8756</v>
      </c>
      <c r="BF539" t="str">
        <f>HYPERLINK("http://dx.doi.org/10.1002/gj.1079","http://dx.doi.org/10.1002/gj.1079")</f>
        <v>http://dx.doi.org/10.1002/gj.1079</v>
      </c>
      <c r="BG539" t="s">
        <v>74</v>
      </c>
      <c r="BH539" t="s">
        <v>74</v>
      </c>
      <c r="BI539">
        <v>18</v>
      </c>
      <c r="BJ539" t="s">
        <v>151</v>
      </c>
      <c r="BK539" t="s">
        <v>535</v>
      </c>
      <c r="BL539" t="s">
        <v>152</v>
      </c>
      <c r="BM539" t="s">
        <v>8714</v>
      </c>
      <c r="BN539" t="s">
        <v>74</v>
      </c>
      <c r="BO539" t="s">
        <v>74</v>
      </c>
      <c r="BP539" t="s">
        <v>74</v>
      </c>
      <c r="BQ539" t="s">
        <v>74</v>
      </c>
      <c r="BR539" t="s">
        <v>101</v>
      </c>
      <c r="BS539" t="s">
        <v>8757</v>
      </c>
      <c r="BT539" t="str">
        <f>HYPERLINK("https%3A%2F%2Fwww.webofscience.com%2Fwos%2Fwoscc%2Ffull-record%2FWOS:000246164300006","View Full Record in Web of Science")</f>
        <v>View Full Record in Web of Science</v>
      </c>
    </row>
    <row r="540" spans="1:72" x14ac:dyDescent="0.15">
      <c r="A540" t="s">
        <v>72</v>
      </c>
      <c r="B540" t="s">
        <v>8758</v>
      </c>
      <c r="C540" t="s">
        <v>74</v>
      </c>
      <c r="D540" t="s">
        <v>74</v>
      </c>
      <c r="E540" t="s">
        <v>74</v>
      </c>
      <c r="F540" t="s">
        <v>8759</v>
      </c>
      <c r="G540" t="s">
        <v>74</v>
      </c>
      <c r="H540" t="s">
        <v>74</v>
      </c>
      <c r="I540" t="s">
        <v>8760</v>
      </c>
      <c r="J540" t="s">
        <v>8697</v>
      </c>
      <c r="K540" t="s">
        <v>74</v>
      </c>
      <c r="L540" t="s">
        <v>74</v>
      </c>
      <c r="M540" t="s">
        <v>78</v>
      </c>
      <c r="N540" t="s">
        <v>514</v>
      </c>
      <c r="O540" t="s">
        <v>8719</v>
      </c>
      <c r="P540" t="s">
        <v>8699</v>
      </c>
      <c r="Q540" t="s">
        <v>8700</v>
      </c>
      <c r="R540" t="s">
        <v>74</v>
      </c>
      <c r="S540" t="s">
        <v>74</v>
      </c>
      <c r="T540" t="s">
        <v>8761</v>
      </c>
      <c r="U540" t="s">
        <v>8762</v>
      </c>
      <c r="V540" t="s">
        <v>8763</v>
      </c>
      <c r="W540" t="s">
        <v>8764</v>
      </c>
      <c r="X540" t="s">
        <v>8765</v>
      </c>
      <c r="Y540" t="s">
        <v>8766</v>
      </c>
      <c r="Z540" t="s">
        <v>8767</v>
      </c>
      <c r="AA540" t="s">
        <v>74</v>
      </c>
      <c r="AB540" t="s">
        <v>8768</v>
      </c>
      <c r="AC540" t="s">
        <v>74</v>
      </c>
      <c r="AD540" t="s">
        <v>74</v>
      </c>
      <c r="AE540" t="s">
        <v>74</v>
      </c>
      <c r="AF540" t="s">
        <v>74</v>
      </c>
      <c r="AG540">
        <v>34</v>
      </c>
      <c r="AH540">
        <v>20</v>
      </c>
      <c r="AI540">
        <v>22</v>
      </c>
      <c r="AJ540">
        <v>0</v>
      </c>
      <c r="AK540">
        <v>9</v>
      </c>
      <c r="AL540" t="s">
        <v>1202</v>
      </c>
      <c r="AM540" t="s">
        <v>1203</v>
      </c>
      <c r="AN540" t="s">
        <v>1204</v>
      </c>
      <c r="AO540" t="s">
        <v>8710</v>
      </c>
      <c r="AP540" t="s">
        <v>8729</v>
      </c>
      <c r="AQ540" t="s">
        <v>74</v>
      </c>
      <c r="AR540" t="s">
        <v>8711</v>
      </c>
      <c r="AS540" t="s">
        <v>8712</v>
      </c>
      <c r="AT540" t="s">
        <v>8354</v>
      </c>
      <c r="AU540">
        <v>2007</v>
      </c>
      <c r="AV540">
        <v>42</v>
      </c>
      <c r="AW540">
        <v>2</v>
      </c>
      <c r="AX540" t="s">
        <v>74</v>
      </c>
      <c r="AY540" t="s">
        <v>74</v>
      </c>
      <c r="AZ540" t="s">
        <v>74</v>
      </c>
      <c r="BA540" t="s">
        <v>74</v>
      </c>
      <c r="BB540">
        <v>203</v>
      </c>
      <c r="BC540">
        <v>211</v>
      </c>
      <c r="BD540" t="s">
        <v>74</v>
      </c>
      <c r="BE540" t="s">
        <v>8769</v>
      </c>
      <c r="BF540" t="str">
        <f>HYPERLINK("http://dx.doi.org/10.1002/gj.1066","http://dx.doi.org/10.1002/gj.1066")</f>
        <v>http://dx.doi.org/10.1002/gj.1066</v>
      </c>
      <c r="BG540" t="s">
        <v>74</v>
      </c>
      <c r="BH540" t="s">
        <v>74</v>
      </c>
      <c r="BI540">
        <v>9</v>
      </c>
      <c r="BJ540" t="s">
        <v>151</v>
      </c>
      <c r="BK540" t="s">
        <v>535</v>
      </c>
      <c r="BL540" t="s">
        <v>152</v>
      </c>
      <c r="BM540" t="s">
        <v>8714</v>
      </c>
      <c r="BN540" t="s">
        <v>74</v>
      </c>
      <c r="BO540" t="s">
        <v>74</v>
      </c>
      <c r="BP540" t="s">
        <v>74</v>
      </c>
      <c r="BQ540" t="s">
        <v>74</v>
      </c>
      <c r="BR540" t="s">
        <v>101</v>
      </c>
      <c r="BS540" t="s">
        <v>8770</v>
      </c>
      <c r="BT540" t="str">
        <f>HYPERLINK("https%3A%2F%2Fwww.webofscience.com%2Fwos%2Fwoscc%2Ffull-record%2FWOS:000246164300007","View Full Record in Web of Science")</f>
        <v>View Full Record in Web of Science</v>
      </c>
    </row>
    <row r="541" spans="1:72" x14ac:dyDescent="0.15">
      <c r="A541" t="s">
        <v>72</v>
      </c>
      <c r="B541" t="s">
        <v>8771</v>
      </c>
      <c r="C541" t="s">
        <v>74</v>
      </c>
      <c r="D541" t="s">
        <v>74</v>
      </c>
      <c r="E541" t="s">
        <v>74</v>
      </c>
      <c r="F541" t="s">
        <v>8772</v>
      </c>
      <c r="G541" t="s">
        <v>74</v>
      </c>
      <c r="H541" t="s">
        <v>74</v>
      </c>
      <c r="I541" t="s">
        <v>8773</v>
      </c>
      <c r="J541" t="s">
        <v>1863</v>
      </c>
      <c r="K541" t="s">
        <v>74</v>
      </c>
      <c r="L541" t="s">
        <v>74</v>
      </c>
      <c r="M541" t="s">
        <v>78</v>
      </c>
      <c r="N541" t="s">
        <v>79</v>
      </c>
      <c r="O541" t="s">
        <v>74</v>
      </c>
      <c r="P541" t="s">
        <v>74</v>
      </c>
      <c r="Q541" t="s">
        <v>74</v>
      </c>
      <c r="R541" t="s">
        <v>74</v>
      </c>
      <c r="S541" t="s">
        <v>74</v>
      </c>
      <c r="T541" t="s">
        <v>74</v>
      </c>
      <c r="U541" t="s">
        <v>8774</v>
      </c>
      <c r="V541" t="s">
        <v>8775</v>
      </c>
      <c r="W541" t="s">
        <v>8776</v>
      </c>
      <c r="X541" t="s">
        <v>8777</v>
      </c>
      <c r="Y541" t="s">
        <v>8778</v>
      </c>
      <c r="Z541" t="s">
        <v>74</v>
      </c>
      <c r="AA541" t="s">
        <v>74</v>
      </c>
      <c r="AB541" t="s">
        <v>74</v>
      </c>
      <c r="AC541" t="s">
        <v>8779</v>
      </c>
      <c r="AD541" t="s">
        <v>140</v>
      </c>
      <c r="AE541" t="s">
        <v>74</v>
      </c>
      <c r="AF541" t="s">
        <v>74</v>
      </c>
      <c r="AG541">
        <v>30</v>
      </c>
      <c r="AH541">
        <v>4</v>
      </c>
      <c r="AI541">
        <v>5</v>
      </c>
      <c r="AJ541">
        <v>0</v>
      </c>
      <c r="AK541">
        <v>7</v>
      </c>
      <c r="AL541" t="s">
        <v>1677</v>
      </c>
      <c r="AM541" t="s">
        <v>1593</v>
      </c>
      <c r="AN541" t="s">
        <v>1678</v>
      </c>
      <c r="AO541" t="s">
        <v>1871</v>
      </c>
      <c r="AP541" t="s">
        <v>1872</v>
      </c>
      <c r="AQ541" t="s">
        <v>74</v>
      </c>
      <c r="AR541" t="s">
        <v>1873</v>
      </c>
      <c r="AS541" t="s">
        <v>1874</v>
      </c>
      <c r="AT541" t="s">
        <v>8354</v>
      </c>
      <c r="AU541">
        <v>2007</v>
      </c>
      <c r="AV541">
        <v>47</v>
      </c>
      <c r="AW541">
        <v>2</v>
      </c>
      <c r="AX541" t="s">
        <v>74</v>
      </c>
      <c r="AY541" t="s">
        <v>74</v>
      </c>
      <c r="AZ541" t="s">
        <v>74</v>
      </c>
      <c r="BA541" t="s">
        <v>74</v>
      </c>
      <c r="BB541">
        <v>205</v>
      </c>
      <c r="BC541">
        <v>215</v>
      </c>
      <c r="BD541" t="s">
        <v>74</v>
      </c>
      <c r="BE541" t="s">
        <v>8780</v>
      </c>
      <c r="BF541" t="str">
        <f>HYPERLINK("http://dx.doi.org/10.1134/S0016793207020089","http://dx.doi.org/10.1134/S0016793207020089")</f>
        <v>http://dx.doi.org/10.1134/S0016793207020089</v>
      </c>
      <c r="BG541" t="s">
        <v>74</v>
      </c>
      <c r="BH541" t="s">
        <v>74</v>
      </c>
      <c r="BI541">
        <v>11</v>
      </c>
      <c r="BJ541" t="s">
        <v>688</v>
      </c>
      <c r="BK541" t="s">
        <v>98</v>
      </c>
      <c r="BL541" t="s">
        <v>688</v>
      </c>
      <c r="BM541" t="s">
        <v>8781</v>
      </c>
      <c r="BN541" t="s">
        <v>74</v>
      </c>
      <c r="BO541" t="s">
        <v>74</v>
      </c>
      <c r="BP541" t="s">
        <v>74</v>
      </c>
      <c r="BQ541" t="s">
        <v>74</v>
      </c>
      <c r="BR541" t="s">
        <v>101</v>
      </c>
      <c r="BS541" t="s">
        <v>8782</v>
      </c>
      <c r="BT541" t="str">
        <f>HYPERLINK("https%3A%2F%2Fwww.webofscience.com%2Fwos%2Fwoscc%2Ffull-record%2FWOS:000245976800008","View Full Record in Web of Science")</f>
        <v>View Full Record in Web of Science</v>
      </c>
    </row>
    <row r="542" spans="1:72" x14ac:dyDescent="0.15">
      <c r="A542" t="s">
        <v>72</v>
      </c>
      <c r="B542" t="s">
        <v>8783</v>
      </c>
      <c r="C542" t="s">
        <v>74</v>
      </c>
      <c r="D542" t="s">
        <v>74</v>
      </c>
      <c r="E542" t="s">
        <v>74</v>
      </c>
      <c r="F542" t="s">
        <v>8784</v>
      </c>
      <c r="G542" t="s">
        <v>74</v>
      </c>
      <c r="H542" t="s">
        <v>74</v>
      </c>
      <c r="I542" t="s">
        <v>8785</v>
      </c>
      <c r="J542" t="s">
        <v>1863</v>
      </c>
      <c r="K542" t="s">
        <v>74</v>
      </c>
      <c r="L542" t="s">
        <v>74</v>
      </c>
      <c r="M542" t="s">
        <v>78</v>
      </c>
      <c r="N542" t="s">
        <v>79</v>
      </c>
      <c r="O542" t="s">
        <v>74</v>
      </c>
      <c r="P542" t="s">
        <v>74</v>
      </c>
      <c r="Q542" t="s">
        <v>74</v>
      </c>
      <c r="R542" t="s">
        <v>74</v>
      </c>
      <c r="S542" t="s">
        <v>74</v>
      </c>
      <c r="T542" t="s">
        <v>74</v>
      </c>
      <c r="U542" t="s">
        <v>8786</v>
      </c>
      <c r="V542" t="s">
        <v>8787</v>
      </c>
      <c r="W542" t="s">
        <v>8788</v>
      </c>
      <c r="X542" t="s">
        <v>8789</v>
      </c>
      <c r="Y542" t="s">
        <v>8790</v>
      </c>
      <c r="Z542" t="s">
        <v>74</v>
      </c>
      <c r="AA542" t="s">
        <v>74</v>
      </c>
      <c r="AB542" t="s">
        <v>74</v>
      </c>
      <c r="AC542" t="s">
        <v>8791</v>
      </c>
      <c r="AD542" t="s">
        <v>8792</v>
      </c>
      <c r="AE542" t="s">
        <v>74</v>
      </c>
      <c r="AF542" t="s">
        <v>74</v>
      </c>
      <c r="AG542">
        <v>21</v>
      </c>
      <c r="AH542">
        <v>3</v>
      </c>
      <c r="AI542">
        <v>3</v>
      </c>
      <c r="AJ542">
        <v>0</v>
      </c>
      <c r="AK542">
        <v>0</v>
      </c>
      <c r="AL542" t="s">
        <v>1677</v>
      </c>
      <c r="AM542" t="s">
        <v>1593</v>
      </c>
      <c r="AN542" t="s">
        <v>1678</v>
      </c>
      <c r="AO542" t="s">
        <v>1871</v>
      </c>
      <c r="AP542" t="s">
        <v>74</v>
      </c>
      <c r="AQ542" t="s">
        <v>74</v>
      </c>
      <c r="AR542" t="s">
        <v>1873</v>
      </c>
      <c r="AS542" t="s">
        <v>1874</v>
      </c>
      <c r="AT542" t="s">
        <v>8354</v>
      </c>
      <c r="AU542">
        <v>2007</v>
      </c>
      <c r="AV542">
        <v>47</v>
      </c>
      <c r="AW542">
        <v>2</v>
      </c>
      <c r="AX542" t="s">
        <v>74</v>
      </c>
      <c r="AY542" t="s">
        <v>74</v>
      </c>
      <c r="AZ542" t="s">
        <v>74</v>
      </c>
      <c r="BA542" t="s">
        <v>74</v>
      </c>
      <c r="BB542">
        <v>227</v>
      </c>
      <c r="BC542">
        <v>237</v>
      </c>
      <c r="BD542" t="s">
        <v>74</v>
      </c>
      <c r="BE542" t="s">
        <v>8793</v>
      </c>
      <c r="BF542" t="str">
        <f>HYPERLINK("http://dx.doi.org/10.1134/S0016793207020119","http://dx.doi.org/10.1134/S0016793207020119")</f>
        <v>http://dx.doi.org/10.1134/S0016793207020119</v>
      </c>
      <c r="BG542" t="s">
        <v>74</v>
      </c>
      <c r="BH542" t="s">
        <v>74</v>
      </c>
      <c r="BI542">
        <v>11</v>
      </c>
      <c r="BJ542" t="s">
        <v>688</v>
      </c>
      <c r="BK542" t="s">
        <v>98</v>
      </c>
      <c r="BL542" t="s">
        <v>688</v>
      </c>
      <c r="BM542" t="s">
        <v>8781</v>
      </c>
      <c r="BN542" t="s">
        <v>74</v>
      </c>
      <c r="BO542" t="s">
        <v>74</v>
      </c>
      <c r="BP542" t="s">
        <v>74</v>
      </c>
      <c r="BQ542" t="s">
        <v>74</v>
      </c>
      <c r="BR542" t="s">
        <v>101</v>
      </c>
      <c r="BS542" t="s">
        <v>8794</v>
      </c>
      <c r="BT542" t="str">
        <f>HYPERLINK("https%3A%2F%2Fwww.webofscience.com%2Fwos%2Fwoscc%2Ffull-record%2FWOS:000245976800011","View Full Record in Web of Science")</f>
        <v>View Full Record in Web of Science</v>
      </c>
    </row>
    <row r="543" spans="1:72" x14ac:dyDescent="0.15">
      <c r="A543" t="s">
        <v>72</v>
      </c>
      <c r="B543" t="s">
        <v>8795</v>
      </c>
      <c r="C543" t="s">
        <v>74</v>
      </c>
      <c r="D543" t="s">
        <v>74</v>
      </c>
      <c r="E543" t="s">
        <v>74</v>
      </c>
      <c r="F543" t="s">
        <v>8796</v>
      </c>
      <c r="G543" t="s">
        <v>74</v>
      </c>
      <c r="H543" t="s">
        <v>74</v>
      </c>
      <c r="I543" t="s">
        <v>8797</v>
      </c>
      <c r="J543" t="s">
        <v>5476</v>
      </c>
      <c r="K543" t="s">
        <v>74</v>
      </c>
      <c r="L543" t="s">
        <v>74</v>
      </c>
      <c r="M543" t="s">
        <v>78</v>
      </c>
      <c r="N543" t="s">
        <v>229</v>
      </c>
      <c r="O543" t="s">
        <v>74</v>
      </c>
      <c r="P543" t="s">
        <v>74</v>
      </c>
      <c r="Q543" t="s">
        <v>74</v>
      </c>
      <c r="R543" t="s">
        <v>74</v>
      </c>
      <c r="S543" t="s">
        <v>74</v>
      </c>
      <c r="T543" t="s">
        <v>74</v>
      </c>
      <c r="U543" t="s">
        <v>74</v>
      </c>
      <c r="V543" t="s">
        <v>74</v>
      </c>
      <c r="W543" t="s">
        <v>74</v>
      </c>
      <c r="X543" t="s">
        <v>74</v>
      </c>
      <c r="Y543" t="s">
        <v>74</v>
      </c>
      <c r="Z543" t="s">
        <v>74</v>
      </c>
      <c r="AA543" t="s">
        <v>74</v>
      </c>
      <c r="AB543" t="s">
        <v>74</v>
      </c>
      <c r="AC543" t="s">
        <v>74</v>
      </c>
      <c r="AD543" t="s">
        <v>74</v>
      </c>
      <c r="AE543" t="s">
        <v>74</v>
      </c>
      <c r="AF543" t="s">
        <v>74</v>
      </c>
      <c r="AG543">
        <v>0</v>
      </c>
      <c r="AH543">
        <v>0</v>
      </c>
      <c r="AI543">
        <v>0</v>
      </c>
      <c r="AJ543">
        <v>0</v>
      </c>
      <c r="AK543">
        <v>0</v>
      </c>
      <c r="AL543" t="s">
        <v>5477</v>
      </c>
      <c r="AM543" t="s">
        <v>1570</v>
      </c>
      <c r="AN543" t="s">
        <v>5478</v>
      </c>
      <c r="AO543" t="s">
        <v>5479</v>
      </c>
      <c r="AP543" t="s">
        <v>74</v>
      </c>
      <c r="AQ543" t="s">
        <v>74</v>
      </c>
      <c r="AR543" t="s">
        <v>5476</v>
      </c>
      <c r="AS543" t="s">
        <v>5480</v>
      </c>
      <c r="AT543" t="s">
        <v>8354</v>
      </c>
      <c r="AU543">
        <v>2007</v>
      </c>
      <c r="AV543">
        <v>52</v>
      </c>
      <c r="AW543">
        <v>4</v>
      </c>
      <c r="AX543" t="s">
        <v>74</v>
      </c>
      <c r="AY543" t="s">
        <v>74</v>
      </c>
      <c r="AZ543" t="s">
        <v>74</v>
      </c>
      <c r="BA543" t="s">
        <v>74</v>
      </c>
      <c r="BB543">
        <v>8</v>
      </c>
      <c r="BC543">
        <v>9</v>
      </c>
      <c r="BD543" t="s">
        <v>74</v>
      </c>
      <c r="BE543" t="s">
        <v>74</v>
      </c>
      <c r="BF543" t="s">
        <v>74</v>
      </c>
      <c r="BG543" t="s">
        <v>74</v>
      </c>
      <c r="BH543" t="s">
        <v>74</v>
      </c>
      <c r="BI543">
        <v>2</v>
      </c>
      <c r="BJ543" t="s">
        <v>151</v>
      </c>
      <c r="BK543" t="s">
        <v>98</v>
      </c>
      <c r="BL543" t="s">
        <v>152</v>
      </c>
      <c r="BM543" t="s">
        <v>8798</v>
      </c>
      <c r="BN543" t="s">
        <v>74</v>
      </c>
      <c r="BO543" t="s">
        <v>74</v>
      </c>
      <c r="BP543" t="s">
        <v>74</v>
      </c>
      <c r="BQ543" t="s">
        <v>74</v>
      </c>
      <c r="BR543" t="s">
        <v>101</v>
      </c>
      <c r="BS543" t="s">
        <v>8799</v>
      </c>
      <c r="BT543" t="str">
        <f>HYPERLINK("https%3A%2F%2Fwww.webofscience.com%2Fwos%2Fwoscc%2Ffull-record%2FWOS:000245679500006","View Full Record in Web of Science")</f>
        <v>View Full Record in Web of Science</v>
      </c>
    </row>
    <row r="544" spans="1:72" x14ac:dyDescent="0.15">
      <c r="A544" t="s">
        <v>72</v>
      </c>
      <c r="B544" t="s">
        <v>8800</v>
      </c>
      <c r="C544" t="s">
        <v>74</v>
      </c>
      <c r="D544" t="s">
        <v>74</v>
      </c>
      <c r="E544" t="s">
        <v>74</v>
      </c>
      <c r="F544" t="s">
        <v>8801</v>
      </c>
      <c r="G544" t="s">
        <v>74</v>
      </c>
      <c r="H544" t="s">
        <v>74</v>
      </c>
      <c r="I544" t="s">
        <v>8802</v>
      </c>
      <c r="J544" t="s">
        <v>1925</v>
      </c>
      <c r="K544" t="s">
        <v>74</v>
      </c>
      <c r="L544" t="s">
        <v>74</v>
      </c>
      <c r="M544" t="s">
        <v>78</v>
      </c>
      <c r="N544" t="s">
        <v>79</v>
      </c>
      <c r="O544" t="s">
        <v>74</v>
      </c>
      <c r="P544" t="s">
        <v>74</v>
      </c>
      <c r="Q544" t="s">
        <v>74</v>
      </c>
      <c r="R544" t="s">
        <v>74</v>
      </c>
      <c r="S544" t="s">
        <v>74</v>
      </c>
      <c r="T544" t="s">
        <v>74</v>
      </c>
      <c r="U544" t="s">
        <v>8803</v>
      </c>
      <c r="V544" t="s">
        <v>8804</v>
      </c>
      <c r="W544" t="s">
        <v>8805</v>
      </c>
      <c r="X544" t="s">
        <v>2367</v>
      </c>
      <c r="Y544" t="s">
        <v>8806</v>
      </c>
      <c r="Z544" t="s">
        <v>8807</v>
      </c>
      <c r="AA544" t="s">
        <v>8808</v>
      </c>
      <c r="AB544" t="s">
        <v>8809</v>
      </c>
      <c r="AC544" t="s">
        <v>74</v>
      </c>
      <c r="AD544" t="s">
        <v>74</v>
      </c>
      <c r="AE544" t="s">
        <v>74</v>
      </c>
      <c r="AF544" t="s">
        <v>74</v>
      </c>
      <c r="AG544">
        <v>36</v>
      </c>
      <c r="AH544">
        <v>9</v>
      </c>
      <c r="AI544">
        <v>9</v>
      </c>
      <c r="AJ544">
        <v>1</v>
      </c>
      <c r="AK544">
        <v>9</v>
      </c>
      <c r="AL544" t="s">
        <v>1677</v>
      </c>
      <c r="AM544" t="s">
        <v>1593</v>
      </c>
      <c r="AN544" t="s">
        <v>1678</v>
      </c>
      <c r="AO544" t="s">
        <v>1933</v>
      </c>
      <c r="AP544" t="s">
        <v>1934</v>
      </c>
      <c r="AQ544" t="s">
        <v>74</v>
      </c>
      <c r="AR544" t="s">
        <v>1935</v>
      </c>
      <c r="AS544" t="s">
        <v>1936</v>
      </c>
      <c r="AT544" t="s">
        <v>8354</v>
      </c>
      <c r="AU544">
        <v>2007</v>
      </c>
      <c r="AV544">
        <v>43</v>
      </c>
      <c r="AW544">
        <v>2</v>
      </c>
      <c r="AX544" t="s">
        <v>74</v>
      </c>
      <c r="AY544" t="s">
        <v>74</v>
      </c>
      <c r="AZ544" t="s">
        <v>74</v>
      </c>
      <c r="BA544" t="s">
        <v>74</v>
      </c>
      <c r="BB544">
        <v>142</v>
      </c>
      <c r="BC544">
        <v>157</v>
      </c>
      <c r="BD544" t="s">
        <v>74</v>
      </c>
      <c r="BE544" t="s">
        <v>8810</v>
      </c>
      <c r="BF544" t="str">
        <f>HYPERLINK("http://dx.doi.org/10.1134/S0001433807020028","http://dx.doi.org/10.1134/S0001433807020028")</f>
        <v>http://dx.doi.org/10.1134/S0001433807020028</v>
      </c>
      <c r="BG544" t="s">
        <v>74</v>
      </c>
      <c r="BH544" t="s">
        <v>74</v>
      </c>
      <c r="BI544">
        <v>16</v>
      </c>
      <c r="BJ544" t="s">
        <v>1938</v>
      </c>
      <c r="BK544" t="s">
        <v>98</v>
      </c>
      <c r="BL544" t="s">
        <v>1938</v>
      </c>
      <c r="BM544" t="s">
        <v>8811</v>
      </c>
      <c r="BN544" t="s">
        <v>74</v>
      </c>
      <c r="BO544" t="s">
        <v>74</v>
      </c>
      <c r="BP544" t="s">
        <v>74</v>
      </c>
      <c r="BQ544" t="s">
        <v>74</v>
      </c>
      <c r="BR544" t="s">
        <v>101</v>
      </c>
      <c r="BS544" t="s">
        <v>8812</v>
      </c>
      <c r="BT544" t="str">
        <f>HYPERLINK("https%3A%2F%2Fwww.webofscience.com%2Fwos%2Fwoscc%2Ffull-record%2FWOS:000246385900002","View Full Record in Web of Science")</f>
        <v>View Full Record in Web of Science</v>
      </c>
    </row>
    <row r="545" spans="1:72" x14ac:dyDescent="0.15">
      <c r="A545" t="s">
        <v>72</v>
      </c>
      <c r="B545" t="s">
        <v>8813</v>
      </c>
      <c r="C545" t="s">
        <v>74</v>
      </c>
      <c r="D545" t="s">
        <v>74</v>
      </c>
      <c r="E545" t="s">
        <v>74</v>
      </c>
      <c r="F545" t="s">
        <v>8814</v>
      </c>
      <c r="G545" t="s">
        <v>74</v>
      </c>
      <c r="H545" t="s">
        <v>74</v>
      </c>
      <c r="I545" t="s">
        <v>8815</v>
      </c>
      <c r="J545" t="s">
        <v>8816</v>
      </c>
      <c r="K545" t="s">
        <v>74</v>
      </c>
      <c r="L545" t="s">
        <v>74</v>
      </c>
      <c r="M545" t="s">
        <v>78</v>
      </c>
      <c r="N545" t="s">
        <v>79</v>
      </c>
      <c r="O545" t="s">
        <v>74</v>
      </c>
      <c r="P545" t="s">
        <v>74</v>
      </c>
      <c r="Q545" t="s">
        <v>74</v>
      </c>
      <c r="R545" t="s">
        <v>74</v>
      </c>
      <c r="S545" t="s">
        <v>74</v>
      </c>
      <c r="T545" t="s">
        <v>8817</v>
      </c>
      <c r="U545" t="s">
        <v>74</v>
      </c>
      <c r="V545" t="s">
        <v>8818</v>
      </c>
      <c r="W545" t="s">
        <v>8819</v>
      </c>
      <c r="X545" t="s">
        <v>8820</v>
      </c>
      <c r="Y545" t="s">
        <v>8821</v>
      </c>
      <c r="Z545" t="s">
        <v>8822</v>
      </c>
      <c r="AA545" t="s">
        <v>8823</v>
      </c>
      <c r="AB545" t="s">
        <v>8824</v>
      </c>
      <c r="AC545" t="s">
        <v>74</v>
      </c>
      <c r="AD545" t="s">
        <v>74</v>
      </c>
      <c r="AE545" t="s">
        <v>74</v>
      </c>
      <c r="AF545" t="s">
        <v>74</v>
      </c>
      <c r="AG545">
        <v>12</v>
      </c>
      <c r="AH545">
        <v>9</v>
      </c>
      <c r="AI545">
        <v>9</v>
      </c>
      <c r="AJ545">
        <v>0</v>
      </c>
      <c r="AK545">
        <v>2</v>
      </c>
      <c r="AL545" t="s">
        <v>1503</v>
      </c>
      <c r="AM545" t="s">
        <v>1504</v>
      </c>
      <c r="AN545" t="s">
        <v>1505</v>
      </c>
      <c r="AO545" t="s">
        <v>8825</v>
      </c>
      <c r="AP545" t="s">
        <v>74</v>
      </c>
      <c r="AQ545" t="s">
        <v>74</v>
      </c>
      <c r="AR545" t="s">
        <v>8826</v>
      </c>
      <c r="AS545" t="s">
        <v>8827</v>
      </c>
      <c r="AT545" t="s">
        <v>8354</v>
      </c>
      <c r="AU545">
        <v>2007</v>
      </c>
      <c r="AV545">
        <v>69</v>
      </c>
      <c r="AW545" t="s">
        <v>8828</v>
      </c>
      <c r="AX545" t="s">
        <v>74</v>
      </c>
      <c r="AY545" t="s">
        <v>74</v>
      </c>
      <c r="AZ545" t="s">
        <v>74</v>
      </c>
      <c r="BA545" t="s">
        <v>74</v>
      </c>
      <c r="BB545">
        <v>403</v>
      </c>
      <c r="BC545">
        <v>410</v>
      </c>
      <c r="BD545" t="s">
        <v>74</v>
      </c>
      <c r="BE545" t="s">
        <v>8829</v>
      </c>
      <c r="BF545" t="str">
        <f>HYPERLINK("http://dx.doi.org/10.1016/j.jastp.2006.05.010","http://dx.doi.org/10.1016/j.jastp.2006.05.010")</f>
        <v>http://dx.doi.org/10.1016/j.jastp.2006.05.010</v>
      </c>
      <c r="BG545" t="s">
        <v>74</v>
      </c>
      <c r="BH545" t="s">
        <v>74</v>
      </c>
      <c r="BI545">
        <v>8</v>
      </c>
      <c r="BJ545" t="s">
        <v>3357</v>
      </c>
      <c r="BK545" t="s">
        <v>98</v>
      </c>
      <c r="BL545" t="s">
        <v>3357</v>
      </c>
      <c r="BM545" t="s">
        <v>8830</v>
      </c>
      <c r="BN545" t="s">
        <v>74</v>
      </c>
      <c r="BO545" t="s">
        <v>74</v>
      </c>
      <c r="BP545" t="s">
        <v>74</v>
      </c>
      <c r="BQ545" t="s">
        <v>74</v>
      </c>
      <c r="BR545" t="s">
        <v>101</v>
      </c>
      <c r="BS545" t="s">
        <v>8831</v>
      </c>
      <c r="BT545" t="str">
        <f>HYPERLINK("https%3A%2F%2Fwww.webofscience.com%2Fwos%2Fwoscc%2Ffull-record%2FWOS:000246085900001","View Full Record in Web of Science")</f>
        <v>View Full Record in Web of Science</v>
      </c>
    </row>
    <row r="546" spans="1:72" x14ac:dyDescent="0.15">
      <c r="A546" t="s">
        <v>72</v>
      </c>
      <c r="B546" t="s">
        <v>8832</v>
      </c>
      <c r="C546" t="s">
        <v>74</v>
      </c>
      <c r="D546" t="s">
        <v>74</v>
      </c>
      <c r="E546" t="s">
        <v>74</v>
      </c>
      <c r="F546" t="s">
        <v>8833</v>
      </c>
      <c r="G546" t="s">
        <v>74</v>
      </c>
      <c r="H546" t="s">
        <v>74</v>
      </c>
      <c r="I546" t="s">
        <v>8834</v>
      </c>
      <c r="J546" t="s">
        <v>8816</v>
      </c>
      <c r="K546" t="s">
        <v>74</v>
      </c>
      <c r="L546" t="s">
        <v>74</v>
      </c>
      <c r="M546" t="s">
        <v>78</v>
      </c>
      <c r="N546" t="s">
        <v>79</v>
      </c>
      <c r="O546" t="s">
        <v>74</v>
      </c>
      <c r="P546" t="s">
        <v>74</v>
      </c>
      <c r="Q546" t="s">
        <v>74</v>
      </c>
      <c r="R546" t="s">
        <v>74</v>
      </c>
      <c r="S546" t="s">
        <v>74</v>
      </c>
      <c r="T546" t="s">
        <v>8835</v>
      </c>
      <c r="U546" t="s">
        <v>8836</v>
      </c>
      <c r="V546" t="s">
        <v>8837</v>
      </c>
      <c r="W546" t="s">
        <v>8838</v>
      </c>
      <c r="X546" t="s">
        <v>8839</v>
      </c>
      <c r="Y546" t="s">
        <v>8840</v>
      </c>
      <c r="Z546" t="s">
        <v>8841</v>
      </c>
      <c r="AA546" t="s">
        <v>74</v>
      </c>
      <c r="AB546" t="s">
        <v>8842</v>
      </c>
      <c r="AC546" t="s">
        <v>1125</v>
      </c>
      <c r="AD546" t="s">
        <v>361</v>
      </c>
      <c r="AE546" t="s">
        <v>74</v>
      </c>
      <c r="AF546" t="s">
        <v>74</v>
      </c>
      <c r="AG546">
        <v>33</v>
      </c>
      <c r="AH546">
        <v>37</v>
      </c>
      <c r="AI546">
        <v>39</v>
      </c>
      <c r="AJ546">
        <v>0</v>
      </c>
      <c r="AK546">
        <v>8</v>
      </c>
      <c r="AL546" t="s">
        <v>1503</v>
      </c>
      <c r="AM546" t="s">
        <v>1504</v>
      </c>
      <c r="AN546" t="s">
        <v>1505</v>
      </c>
      <c r="AO546" t="s">
        <v>8825</v>
      </c>
      <c r="AP546" t="s">
        <v>8843</v>
      </c>
      <c r="AQ546" t="s">
        <v>74</v>
      </c>
      <c r="AR546" t="s">
        <v>8826</v>
      </c>
      <c r="AS546" t="s">
        <v>8827</v>
      </c>
      <c r="AT546" t="s">
        <v>8354</v>
      </c>
      <c r="AU546">
        <v>2007</v>
      </c>
      <c r="AV546">
        <v>69</v>
      </c>
      <c r="AW546" t="s">
        <v>8828</v>
      </c>
      <c r="AX546" t="s">
        <v>74</v>
      </c>
      <c r="AY546" t="s">
        <v>74</v>
      </c>
      <c r="AZ546" t="s">
        <v>74</v>
      </c>
      <c r="BA546" t="s">
        <v>74</v>
      </c>
      <c r="BB546">
        <v>578</v>
      </c>
      <c r="BC546">
        <v>588</v>
      </c>
      <c r="BD546" t="s">
        <v>74</v>
      </c>
      <c r="BE546" t="s">
        <v>8844</v>
      </c>
      <c r="BF546" t="str">
        <f>HYPERLINK("http://dx.doi.org/10.1016/j.jastp.2006.10.009","http://dx.doi.org/10.1016/j.jastp.2006.10.009")</f>
        <v>http://dx.doi.org/10.1016/j.jastp.2006.10.009</v>
      </c>
      <c r="BG546" t="s">
        <v>74</v>
      </c>
      <c r="BH546" t="s">
        <v>74</v>
      </c>
      <c r="BI546">
        <v>11</v>
      </c>
      <c r="BJ546" t="s">
        <v>3357</v>
      </c>
      <c r="BK546" t="s">
        <v>98</v>
      </c>
      <c r="BL546" t="s">
        <v>3357</v>
      </c>
      <c r="BM546" t="s">
        <v>8830</v>
      </c>
      <c r="BN546" t="s">
        <v>74</v>
      </c>
      <c r="BO546" t="s">
        <v>74</v>
      </c>
      <c r="BP546" t="s">
        <v>74</v>
      </c>
      <c r="BQ546" t="s">
        <v>74</v>
      </c>
      <c r="BR546" t="s">
        <v>101</v>
      </c>
      <c r="BS546" t="s">
        <v>8845</v>
      </c>
      <c r="BT546" t="str">
        <f>HYPERLINK("https%3A%2F%2Fwww.webofscience.com%2Fwos%2Fwoscc%2Ffull-record%2FWOS:000246085900015","View Full Record in Web of Science")</f>
        <v>View Full Record in Web of Science</v>
      </c>
    </row>
    <row r="547" spans="1:72" x14ac:dyDescent="0.15">
      <c r="A547" t="s">
        <v>72</v>
      </c>
      <c r="B547" t="s">
        <v>8846</v>
      </c>
      <c r="C547" t="s">
        <v>74</v>
      </c>
      <c r="D547" t="s">
        <v>74</v>
      </c>
      <c r="E547" t="s">
        <v>74</v>
      </c>
      <c r="F547" t="s">
        <v>8847</v>
      </c>
      <c r="G547" t="s">
        <v>74</v>
      </c>
      <c r="H547" t="s">
        <v>74</v>
      </c>
      <c r="I547" t="s">
        <v>8848</v>
      </c>
      <c r="J547" t="s">
        <v>8849</v>
      </c>
      <c r="K547" t="s">
        <v>74</v>
      </c>
      <c r="L547" t="s">
        <v>74</v>
      </c>
      <c r="M547" t="s">
        <v>78</v>
      </c>
      <c r="N547" t="s">
        <v>79</v>
      </c>
      <c r="O547" t="s">
        <v>74</v>
      </c>
      <c r="P547" t="s">
        <v>74</v>
      </c>
      <c r="Q547" t="s">
        <v>74</v>
      </c>
      <c r="R547" t="s">
        <v>74</v>
      </c>
      <c r="S547" t="s">
        <v>74</v>
      </c>
      <c r="T547" t="s">
        <v>8850</v>
      </c>
      <c r="U547" t="s">
        <v>8851</v>
      </c>
      <c r="V547" t="s">
        <v>8852</v>
      </c>
      <c r="W547" t="s">
        <v>8853</v>
      </c>
      <c r="X547" t="s">
        <v>8854</v>
      </c>
      <c r="Y547" t="s">
        <v>8855</v>
      </c>
      <c r="Z547" t="s">
        <v>8856</v>
      </c>
      <c r="AA547" t="s">
        <v>8857</v>
      </c>
      <c r="AB547" t="s">
        <v>8858</v>
      </c>
      <c r="AC547" t="s">
        <v>74</v>
      </c>
      <c r="AD547" t="s">
        <v>74</v>
      </c>
      <c r="AE547" t="s">
        <v>74</v>
      </c>
      <c r="AF547" t="s">
        <v>74</v>
      </c>
      <c r="AG547">
        <v>20</v>
      </c>
      <c r="AH547">
        <v>27</v>
      </c>
      <c r="AI547">
        <v>32</v>
      </c>
      <c r="AJ547">
        <v>2</v>
      </c>
      <c r="AK547">
        <v>32</v>
      </c>
      <c r="AL547" t="s">
        <v>1592</v>
      </c>
      <c r="AM547" t="s">
        <v>2052</v>
      </c>
      <c r="AN547" t="s">
        <v>2053</v>
      </c>
      <c r="AO547" t="s">
        <v>8859</v>
      </c>
      <c r="AP547" t="s">
        <v>8860</v>
      </c>
      <c r="AQ547" t="s">
        <v>74</v>
      </c>
      <c r="AR547" t="s">
        <v>8861</v>
      </c>
      <c r="AS547" t="s">
        <v>8862</v>
      </c>
      <c r="AT547" t="s">
        <v>8354</v>
      </c>
      <c r="AU547">
        <v>2007</v>
      </c>
      <c r="AV547">
        <v>56</v>
      </c>
      <c r="AW547">
        <v>3</v>
      </c>
      <c r="AX547" t="s">
        <v>74</v>
      </c>
      <c r="AY547" t="s">
        <v>74</v>
      </c>
      <c r="AZ547" t="s">
        <v>74</v>
      </c>
      <c r="BA547" t="s">
        <v>74</v>
      </c>
      <c r="BB547">
        <v>225</v>
      </c>
      <c r="BC547">
        <v>238</v>
      </c>
      <c r="BD547" t="s">
        <v>74</v>
      </c>
      <c r="BE547" t="s">
        <v>8863</v>
      </c>
      <c r="BF547" t="str">
        <f>HYPERLINK("http://dx.doi.org/10.1007/s10874-006-9052-8","http://dx.doi.org/10.1007/s10874-006-9052-8")</f>
        <v>http://dx.doi.org/10.1007/s10874-006-9052-8</v>
      </c>
      <c r="BG547" t="s">
        <v>74</v>
      </c>
      <c r="BH547" t="s">
        <v>74</v>
      </c>
      <c r="BI547">
        <v>14</v>
      </c>
      <c r="BJ547" t="s">
        <v>1511</v>
      </c>
      <c r="BK547" t="s">
        <v>98</v>
      </c>
      <c r="BL547" t="s">
        <v>1512</v>
      </c>
      <c r="BM547" t="s">
        <v>8864</v>
      </c>
      <c r="BN547" t="s">
        <v>74</v>
      </c>
      <c r="BO547" t="s">
        <v>74</v>
      </c>
      <c r="BP547" t="s">
        <v>74</v>
      </c>
      <c r="BQ547" t="s">
        <v>74</v>
      </c>
      <c r="BR547" t="s">
        <v>101</v>
      </c>
      <c r="BS547" t="s">
        <v>8865</v>
      </c>
      <c r="BT547" t="str">
        <f>HYPERLINK("https%3A%2F%2Fwww.webofscience.com%2Fwos%2Fwoscc%2Ffull-record%2FWOS:000245105900002","View Full Record in Web of Science")</f>
        <v>View Full Record in Web of Science</v>
      </c>
    </row>
    <row r="548" spans="1:72" x14ac:dyDescent="0.15">
      <c r="A548" t="s">
        <v>72</v>
      </c>
      <c r="B548" t="s">
        <v>8866</v>
      </c>
      <c r="C548" t="s">
        <v>74</v>
      </c>
      <c r="D548" t="s">
        <v>74</v>
      </c>
      <c r="E548" t="s">
        <v>74</v>
      </c>
      <c r="F548" t="s">
        <v>8867</v>
      </c>
      <c r="G548" t="s">
        <v>74</v>
      </c>
      <c r="H548" t="s">
        <v>74</v>
      </c>
      <c r="I548" t="s">
        <v>8868</v>
      </c>
      <c r="J548" t="s">
        <v>8849</v>
      </c>
      <c r="K548" t="s">
        <v>74</v>
      </c>
      <c r="L548" t="s">
        <v>74</v>
      </c>
      <c r="M548" t="s">
        <v>78</v>
      </c>
      <c r="N548" t="s">
        <v>79</v>
      </c>
      <c r="O548" t="s">
        <v>74</v>
      </c>
      <c r="P548" t="s">
        <v>74</v>
      </c>
      <c r="Q548" t="s">
        <v>74</v>
      </c>
      <c r="R548" t="s">
        <v>74</v>
      </c>
      <c r="S548" t="s">
        <v>74</v>
      </c>
      <c r="T548" t="s">
        <v>8869</v>
      </c>
      <c r="U548" t="s">
        <v>8870</v>
      </c>
      <c r="V548" t="s">
        <v>8871</v>
      </c>
      <c r="W548" t="s">
        <v>8872</v>
      </c>
      <c r="X548" t="s">
        <v>8873</v>
      </c>
      <c r="Y548" t="s">
        <v>8874</v>
      </c>
      <c r="Z548" t="s">
        <v>8875</v>
      </c>
      <c r="AA548" t="s">
        <v>8876</v>
      </c>
      <c r="AB548" t="s">
        <v>8877</v>
      </c>
      <c r="AC548" t="s">
        <v>74</v>
      </c>
      <c r="AD548" t="s">
        <v>74</v>
      </c>
      <c r="AE548" t="s">
        <v>74</v>
      </c>
      <c r="AF548" t="s">
        <v>74</v>
      </c>
      <c r="AG548">
        <v>59</v>
      </c>
      <c r="AH548">
        <v>11</v>
      </c>
      <c r="AI548">
        <v>13</v>
      </c>
      <c r="AJ548">
        <v>0</v>
      </c>
      <c r="AK548">
        <v>18</v>
      </c>
      <c r="AL548" t="s">
        <v>1592</v>
      </c>
      <c r="AM548" t="s">
        <v>2052</v>
      </c>
      <c r="AN548" t="s">
        <v>2053</v>
      </c>
      <c r="AO548" t="s">
        <v>8859</v>
      </c>
      <c r="AP548" t="s">
        <v>74</v>
      </c>
      <c r="AQ548" t="s">
        <v>74</v>
      </c>
      <c r="AR548" t="s">
        <v>8861</v>
      </c>
      <c r="AS548" t="s">
        <v>8862</v>
      </c>
      <c r="AT548" t="s">
        <v>8354</v>
      </c>
      <c r="AU548">
        <v>2007</v>
      </c>
      <c r="AV548">
        <v>56</v>
      </c>
      <c r="AW548">
        <v>3</v>
      </c>
      <c r="AX548" t="s">
        <v>74</v>
      </c>
      <c r="AY548" t="s">
        <v>74</v>
      </c>
      <c r="AZ548" t="s">
        <v>74</v>
      </c>
      <c r="BA548" t="s">
        <v>74</v>
      </c>
      <c r="BB548">
        <v>293</v>
      </c>
      <c r="BC548">
        <v>314</v>
      </c>
      <c r="BD548" t="s">
        <v>74</v>
      </c>
      <c r="BE548" t="s">
        <v>8878</v>
      </c>
      <c r="BF548" t="str">
        <f>HYPERLINK("http://dx.doi.org/10.1007/s10874-006-9057-3","http://dx.doi.org/10.1007/s10874-006-9057-3")</f>
        <v>http://dx.doi.org/10.1007/s10874-006-9057-3</v>
      </c>
      <c r="BG548" t="s">
        <v>74</v>
      </c>
      <c r="BH548" t="s">
        <v>74</v>
      </c>
      <c r="BI548">
        <v>22</v>
      </c>
      <c r="BJ548" t="s">
        <v>1511</v>
      </c>
      <c r="BK548" t="s">
        <v>98</v>
      </c>
      <c r="BL548" t="s">
        <v>1512</v>
      </c>
      <c r="BM548" t="s">
        <v>8864</v>
      </c>
      <c r="BN548" t="s">
        <v>74</v>
      </c>
      <c r="BO548" t="s">
        <v>74</v>
      </c>
      <c r="BP548" t="s">
        <v>74</v>
      </c>
      <c r="BQ548" t="s">
        <v>74</v>
      </c>
      <c r="BR548" t="s">
        <v>101</v>
      </c>
      <c r="BS548" t="s">
        <v>8879</v>
      </c>
      <c r="BT548" t="str">
        <f>HYPERLINK("https%3A%2F%2Fwww.webofscience.com%2Fwos%2Fwoscc%2Ffull-record%2FWOS:000245105900006","View Full Record in Web of Science")</f>
        <v>View Full Record in Web of Science</v>
      </c>
    </row>
    <row r="549" spans="1:72" x14ac:dyDescent="0.15">
      <c r="A549" t="s">
        <v>72</v>
      </c>
      <c r="B549" t="s">
        <v>8880</v>
      </c>
      <c r="C549" t="s">
        <v>74</v>
      </c>
      <c r="D549" t="s">
        <v>74</v>
      </c>
      <c r="E549" t="s">
        <v>74</v>
      </c>
      <c r="F549" t="s">
        <v>8881</v>
      </c>
      <c r="G549" t="s">
        <v>74</v>
      </c>
      <c r="H549" t="s">
        <v>74</v>
      </c>
      <c r="I549" t="s">
        <v>8882</v>
      </c>
      <c r="J549" t="s">
        <v>8883</v>
      </c>
      <c r="K549" t="s">
        <v>74</v>
      </c>
      <c r="L549" t="s">
        <v>74</v>
      </c>
      <c r="M549" t="s">
        <v>78</v>
      </c>
      <c r="N549" t="s">
        <v>79</v>
      </c>
      <c r="O549" t="s">
        <v>74</v>
      </c>
      <c r="P549" t="s">
        <v>74</v>
      </c>
      <c r="Q549" t="s">
        <v>74</v>
      </c>
      <c r="R549" t="s">
        <v>74</v>
      </c>
      <c r="S549" t="s">
        <v>74</v>
      </c>
      <c r="T549" t="s">
        <v>74</v>
      </c>
      <c r="U549" t="s">
        <v>8884</v>
      </c>
      <c r="V549" t="s">
        <v>8885</v>
      </c>
      <c r="W549" t="s">
        <v>8886</v>
      </c>
      <c r="X549" t="s">
        <v>8887</v>
      </c>
      <c r="Y549" t="s">
        <v>8888</v>
      </c>
      <c r="Z549" t="s">
        <v>8889</v>
      </c>
      <c r="AA549" t="s">
        <v>8890</v>
      </c>
      <c r="AB549" t="s">
        <v>8891</v>
      </c>
      <c r="AC549" t="s">
        <v>4672</v>
      </c>
      <c r="AD549" t="s">
        <v>140</v>
      </c>
      <c r="AE549" t="s">
        <v>74</v>
      </c>
      <c r="AF549" t="s">
        <v>74</v>
      </c>
      <c r="AG549">
        <v>33</v>
      </c>
      <c r="AH549">
        <v>85</v>
      </c>
      <c r="AI549">
        <v>94</v>
      </c>
      <c r="AJ549">
        <v>0</v>
      </c>
      <c r="AK549">
        <v>3</v>
      </c>
      <c r="AL549" t="s">
        <v>1179</v>
      </c>
      <c r="AM549" t="s">
        <v>142</v>
      </c>
      <c r="AN549" t="s">
        <v>1180</v>
      </c>
      <c r="AO549" t="s">
        <v>8892</v>
      </c>
      <c r="AP549" t="s">
        <v>8893</v>
      </c>
      <c r="AQ549" t="s">
        <v>74</v>
      </c>
      <c r="AR549" t="s">
        <v>8894</v>
      </c>
      <c r="AS549" t="s">
        <v>8895</v>
      </c>
      <c r="AT549" t="s">
        <v>8354</v>
      </c>
      <c r="AU549">
        <v>2007</v>
      </c>
      <c r="AV549">
        <v>45</v>
      </c>
      <c r="AW549">
        <v>4</v>
      </c>
      <c r="AX549" t="s">
        <v>74</v>
      </c>
      <c r="AY549" t="s">
        <v>74</v>
      </c>
      <c r="AZ549" t="s">
        <v>74</v>
      </c>
      <c r="BA549" t="s">
        <v>74</v>
      </c>
      <c r="BB549">
        <v>1152</v>
      </c>
      <c r="BC549">
        <v>1158</v>
      </c>
      <c r="BD549" t="s">
        <v>74</v>
      </c>
      <c r="BE549" t="s">
        <v>8896</v>
      </c>
      <c r="BF549" t="str">
        <f>HYPERLINK("http://dx.doi.org/10.1128/JCM.02061-06","http://dx.doi.org/10.1128/JCM.02061-06")</f>
        <v>http://dx.doi.org/10.1128/JCM.02061-06</v>
      </c>
      <c r="BG549" t="s">
        <v>74</v>
      </c>
      <c r="BH549" t="s">
        <v>74</v>
      </c>
      <c r="BI549">
        <v>7</v>
      </c>
      <c r="BJ549" t="s">
        <v>1722</v>
      </c>
      <c r="BK549" t="s">
        <v>98</v>
      </c>
      <c r="BL549" t="s">
        <v>1722</v>
      </c>
      <c r="BM549" t="s">
        <v>8897</v>
      </c>
      <c r="BN549">
        <v>17251397</v>
      </c>
      <c r="BO549" t="s">
        <v>198</v>
      </c>
      <c r="BP549" t="s">
        <v>74</v>
      </c>
      <c r="BQ549" t="s">
        <v>74</v>
      </c>
      <c r="BR549" t="s">
        <v>101</v>
      </c>
      <c r="BS549" t="s">
        <v>8898</v>
      </c>
      <c r="BT549" t="str">
        <f>HYPERLINK("https%3A%2F%2Fwww.webofscience.com%2Fwos%2Fwoscc%2Ffull-record%2FWOS:000245779300012","View Full Record in Web of Science")</f>
        <v>View Full Record in Web of Science</v>
      </c>
    </row>
    <row r="550" spans="1:72" x14ac:dyDescent="0.15">
      <c r="A550" t="s">
        <v>72</v>
      </c>
      <c r="B550" t="s">
        <v>8899</v>
      </c>
      <c r="C550" t="s">
        <v>74</v>
      </c>
      <c r="D550" t="s">
        <v>74</v>
      </c>
      <c r="E550" t="s">
        <v>74</v>
      </c>
      <c r="F550" t="s">
        <v>8900</v>
      </c>
      <c r="G550" t="s">
        <v>74</v>
      </c>
      <c r="H550" t="s">
        <v>74</v>
      </c>
      <c r="I550" t="s">
        <v>8901</v>
      </c>
      <c r="J550" t="s">
        <v>8902</v>
      </c>
      <c r="K550" t="s">
        <v>74</v>
      </c>
      <c r="L550" t="s">
        <v>74</v>
      </c>
      <c r="M550" t="s">
        <v>78</v>
      </c>
      <c r="N550" t="s">
        <v>248</v>
      </c>
      <c r="O550" t="s">
        <v>74</v>
      </c>
      <c r="P550" t="s">
        <v>74</v>
      </c>
      <c r="Q550" t="s">
        <v>74</v>
      </c>
      <c r="R550" t="s">
        <v>74</v>
      </c>
      <c r="S550" t="s">
        <v>74</v>
      </c>
      <c r="T550" t="s">
        <v>8903</v>
      </c>
      <c r="U550" t="s">
        <v>8904</v>
      </c>
      <c r="V550" t="s">
        <v>8905</v>
      </c>
      <c r="W550" t="s">
        <v>8906</v>
      </c>
      <c r="X550" t="s">
        <v>8907</v>
      </c>
      <c r="Y550" t="s">
        <v>8908</v>
      </c>
      <c r="Z550" t="s">
        <v>8909</v>
      </c>
      <c r="AA550" t="s">
        <v>74</v>
      </c>
      <c r="AB550" t="s">
        <v>74</v>
      </c>
      <c r="AC550" t="s">
        <v>74</v>
      </c>
      <c r="AD550" t="s">
        <v>74</v>
      </c>
      <c r="AE550" t="s">
        <v>74</v>
      </c>
      <c r="AF550" t="s">
        <v>74</v>
      </c>
      <c r="AG550">
        <v>101</v>
      </c>
      <c r="AH550">
        <v>21</v>
      </c>
      <c r="AI550">
        <v>26</v>
      </c>
      <c r="AJ550">
        <v>2</v>
      </c>
      <c r="AK550">
        <v>9</v>
      </c>
      <c r="AL550" t="s">
        <v>1503</v>
      </c>
      <c r="AM550" t="s">
        <v>1504</v>
      </c>
      <c r="AN550" t="s">
        <v>1505</v>
      </c>
      <c r="AO550" t="s">
        <v>8910</v>
      </c>
      <c r="AP550" t="s">
        <v>74</v>
      </c>
      <c r="AQ550" t="s">
        <v>74</v>
      </c>
      <c r="AR550" t="s">
        <v>8911</v>
      </c>
      <c r="AS550" t="s">
        <v>8912</v>
      </c>
      <c r="AT550" t="s">
        <v>8354</v>
      </c>
      <c r="AU550">
        <v>2007</v>
      </c>
      <c r="AV550">
        <v>43</v>
      </c>
      <c r="AW550">
        <v>3</v>
      </c>
      <c r="AX550" t="s">
        <v>74</v>
      </c>
      <c r="AY550" t="s">
        <v>74</v>
      </c>
      <c r="AZ550" t="s">
        <v>74</v>
      </c>
      <c r="BA550" t="s">
        <v>74</v>
      </c>
      <c r="BB550">
        <v>339</v>
      </c>
      <c r="BC550">
        <v>357</v>
      </c>
      <c r="BD550" t="s">
        <v>74</v>
      </c>
      <c r="BE550" t="s">
        <v>8913</v>
      </c>
      <c r="BF550" t="str">
        <f>HYPERLINK("http://dx.doi.org/10.1016/j.jog.2006.08.002","http://dx.doi.org/10.1016/j.jog.2006.08.002")</f>
        <v>http://dx.doi.org/10.1016/j.jog.2006.08.002</v>
      </c>
      <c r="BG550" t="s">
        <v>74</v>
      </c>
      <c r="BH550" t="s">
        <v>74</v>
      </c>
      <c r="BI550">
        <v>19</v>
      </c>
      <c r="BJ550" t="s">
        <v>688</v>
      </c>
      <c r="BK550" t="s">
        <v>98</v>
      </c>
      <c r="BL550" t="s">
        <v>688</v>
      </c>
      <c r="BM550" t="s">
        <v>8914</v>
      </c>
      <c r="BN550" t="s">
        <v>74</v>
      </c>
      <c r="BO550" t="s">
        <v>74</v>
      </c>
      <c r="BP550" t="s">
        <v>74</v>
      </c>
      <c r="BQ550" t="s">
        <v>74</v>
      </c>
      <c r="BR550" t="s">
        <v>101</v>
      </c>
      <c r="BS550" t="s">
        <v>8915</v>
      </c>
      <c r="BT550" t="str">
        <f>HYPERLINK("https%3A%2F%2Fwww.webofscience.com%2Fwos%2Fwoscc%2Ffull-record%2FWOS:000246239100001","View Full Record in Web of Science")</f>
        <v>View Full Record in Web of Science</v>
      </c>
    </row>
    <row r="551" spans="1:72" x14ac:dyDescent="0.15">
      <c r="A551" t="s">
        <v>72</v>
      </c>
      <c r="B551" t="s">
        <v>8916</v>
      </c>
      <c r="C551" t="s">
        <v>74</v>
      </c>
      <c r="D551" t="s">
        <v>74</v>
      </c>
      <c r="E551" t="s">
        <v>74</v>
      </c>
      <c r="F551" t="s">
        <v>8917</v>
      </c>
      <c r="G551" t="s">
        <v>74</v>
      </c>
      <c r="H551" t="s">
        <v>74</v>
      </c>
      <c r="I551" t="s">
        <v>8918</v>
      </c>
      <c r="J551" t="s">
        <v>2020</v>
      </c>
      <c r="K551" t="s">
        <v>74</v>
      </c>
      <c r="L551" t="s">
        <v>74</v>
      </c>
      <c r="M551" t="s">
        <v>78</v>
      </c>
      <c r="N551" t="s">
        <v>79</v>
      </c>
      <c r="O551" t="s">
        <v>74</v>
      </c>
      <c r="P551" t="s">
        <v>74</v>
      </c>
      <c r="Q551" t="s">
        <v>74</v>
      </c>
      <c r="R551" t="s">
        <v>74</v>
      </c>
      <c r="S551" t="s">
        <v>74</v>
      </c>
      <c r="T551" t="s">
        <v>8919</v>
      </c>
      <c r="U551" t="s">
        <v>8920</v>
      </c>
      <c r="V551" t="s">
        <v>8921</v>
      </c>
      <c r="W551" t="s">
        <v>8922</v>
      </c>
      <c r="X551" t="s">
        <v>8923</v>
      </c>
      <c r="Y551" t="s">
        <v>8924</v>
      </c>
      <c r="Z551" t="s">
        <v>8925</v>
      </c>
      <c r="AA551" t="s">
        <v>8926</v>
      </c>
      <c r="AB551" t="s">
        <v>8927</v>
      </c>
      <c r="AC551" t="s">
        <v>74</v>
      </c>
      <c r="AD551" t="s">
        <v>74</v>
      </c>
      <c r="AE551" t="s">
        <v>74</v>
      </c>
      <c r="AF551" t="s">
        <v>74</v>
      </c>
      <c r="AG551">
        <v>30</v>
      </c>
      <c r="AH551">
        <v>59</v>
      </c>
      <c r="AI551">
        <v>71</v>
      </c>
      <c r="AJ551">
        <v>1</v>
      </c>
      <c r="AK551">
        <v>15</v>
      </c>
      <c r="AL551" t="s">
        <v>2030</v>
      </c>
      <c r="AM551" t="s">
        <v>2031</v>
      </c>
      <c r="AN551" t="s">
        <v>2032</v>
      </c>
      <c r="AO551" t="s">
        <v>2033</v>
      </c>
      <c r="AP551" t="s">
        <v>2034</v>
      </c>
      <c r="AQ551" t="s">
        <v>74</v>
      </c>
      <c r="AR551" t="s">
        <v>2035</v>
      </c>
      <c r="AS551" t="s">
        <v>2036</v>
      </c>
      <c r="AT551" t="s">
        <v>8354</v>
      </c>
      <c r="AU551">
        <v>2007</v>
      </c>
      <c r="AV551">
        <v>17</v>
      </c>
      <c r="AW551">
        <v>4</v>
      </c>
      <c r="AX551" t="s">
        <v>74</v>
      </c>
      <c r="AY551" t="s">
        <v>74</v>
      </c>
      <c r="AZ551" t="s">
        <v>74</v>
      </c>
      <c r="BA551" t="s">
        <v>74</v>
      </c>
      <c r="BB551">
        <v>604</v>
      </c>
      <c r="BC551">
        <v>610</v>
      </c>
      <c r="BD551" t="s">
        <v>74</v>
      </c>
      <c r="BE551" t="s">
        <v>74</v>
      </c>
      <c r="BF551" t="s">
        <v>74</v>
      </c>
      <c r="BG551" t="s">
        <v>74</v>
      </c>
      <c r="BH551" t="s">
        <v>74</v>
      </c>
      <c r="BI551">
        <v>7</v>
      </c>
      <c r="BJ551" t="s">
        <v>1186</v>
      </c>
      <c r="BK551" t="s">
        <v>98</v>
      </c>
      <c r="BL551" t="s">
        <v>1186</v>
      </c>
      <c r="BM551" t="s">
        <v>8928</v>
      </c>
      <c r="BN551">
        <v>18051271</v>
      </c>
      <c r="BO551" t="s">
        <v>74</v>
      </c>
      <c r="BP551" t="s">
        <v>74</v>
      </c>
      <c r="BQ551" t="s">
        <v>74</v>
      </c>
      <c r="BR551" t="s">
        <v>101</v>
      </c>
      <c r="BS551" t="s">
        <v>8929</v>
      </c>
      <c r="BT551" t="str">
        <f>HYPERLINK("https%3A%2F%2Fwww.webofscience.com%2Fwos%2Fwoscc%2Ffull-record%2FWOS:000246096700008","View Full Record in Web of Science")</f>
        <v>View Full Record in Web of Science</v>
      </c>
    </row>
    <row r="552" spans="1:72" x14ac:dyDescent="0.15">
      <c r="A552" t="s">
        <v>72</v>
      </c>
      <c r="B552" t="s">
        <v>8930</v>
      </c>
      <c r="C552" t="s">
        <v>74</v>
      </c>
      <c r="D552" t="s">
        <v>74</v>
      </c>
      <c r="E552" t="s">
        <v>74</v>
      </c>
      <c r="F552" t="s">
        <v>8931</v>
      </c>
      <c r="G552" t="s">
        <v>74</v>
      </c>
      <c r="H552" t="s">
        <v>74</v>
      </c>
      <c r="I552" t="s">
        <v>8932</v>
      </c>
      <c r="J552" t="s">
        <v>2042</v>
      </c>
      <c r="K552" t="s">
        <v>74</v>
      </c>
      <c r="L552" t="s">
        <v>74</v>
      </c>
      <c r="M552" t="s">
        <v>78</v>
      </c>
      <c r="N552" t="s">
        <v>79</v>
      </c>
      <c r="O552" t="s">
        <v>74</v>
      </c>
      <c r="P552" t="s">
        <v>74</v>
      </c>
      <c r="Q552" t="s">
        <v>74</v>
      </c>
      <c r="R552" t="s">
        <v>74</v>
      </c>
      <c r="S552" t="s">
        <v>74</v>
      </c>
      <c r="T552" t="s">
        <v>8933</v>
      </c>
      <c r="U552" t="s">
        <v>8934</v>
      </c>
      <c r="V552" t="s">
        <v>8935</v>
      </c>
      <c r="W552" t="s">
        <v>8936</v>
      </c>
      <c r="X552" t="s">
        <v>1382</v>
      </c>
      <c r="Y552" t="s">
        <v>8937</v>
      </c>
      <c r="Z552" t="s">
        <v>8938</v>
      </c>
      <c r="AA552" t="s">
        <v>74</v>
      </c>
      <c r="AB552" t="s">
        <v>74</v>
      </c>
      <c r="AC552" t="s">
        <v>74</v>
      </c>
      <c r="AD552" t="s">
        <v>74</v>
      </c>
      <c r="AE552" t="s">
        <v>74</v>
      </c>
      <c r="AF552" t="s">
        <v>74</v>
      </c>
      <c r="AG552">
        <v>52</v>
      </c>
      <c r="AH552">
        <v>6</v>
      </c>
      <c r="AI552">
        <v>7</v>
      </c>
      <c r="AJ552">
        <v>0</v>
      </c>
      <c r="AK552">
        <v>2</v>
      </c>
      <c r="AL552" t="s">
        <v>1592</v>
      </c>
      <c r="AM552" t="s">
        <v>2052</v>
      </c>
      <c r="AN552" t="s">
        <v>2053</v>
      </c>
      <c r="AO552" t="s">
        <v>2054</v>
      </c>
      <c r="AP552" t="s">
        <v>2055</v>
      </c>
      <c r="AQ552" t="s">
        <v>74</v>
      </c>
      <c r="AR552" t="s">
        <v>2056</v>
      </c>
      <c r="AS552" t="s">
        <v>2057</v>
      </c>
      <c r="AT552" t="s">
        <v>8354</v>
      </c>
      <c r="AU552">
        <v>2007</v>
      </c>
      <c r="AV552">
        <v>63</v>
      </c>
      <c r="AW552">
        <v>2</v>
      </c>
      <c r="AX552" t="s">
        <v>74</v>
      </c>
      <c r="AY552" t="s">
        <v>74</v>
      </c>
      <c r="AZ552" t="s">
        <v>74</v>
      </c>
      <c r="BA552" t="s">
        <v>74</v>
      </c>
      <c r="BB552">
        <v>179</v>
      </c>
      <c r="BC552">
        <v>187</v>
      </c>
      <c r="BD552" t="s">
        <v>74</v>
      </c>
      <c r="BE552" t="s">
        <v>8939</v>
      </c>
      <c r="BF552" t="str">
        <f>HYPERLINK("http://dx.doi.org/10.1007/s10872-007-0020-y","http://dx.doi.org/10.1007/s10872-007-0020-y")</f>
        <v>http://dx.doi.org/10.1007/s10872-007-0020-y</v>
      </c>
      <c r="BG552" t="s">
        <v>74</v>
      </c>
      <c r="BH552" t="s">
        <v>74</v>
      </c>
      <c r="BI552">
        <v>9</v>
      </c>
      <c r="BJ552" t="s">
        <v>221</v>
      </c>
      <c r="BK552" t="s">
        <v>98</v>
      </c>
      <c r="BL552" t="s">
        <v>221</v>
      </c>
      <c r="BM552" t="s">
        <v>8940</v>
      </c>
      <c r="BN552" t="s">
        <v>74</v>
      </c>
      <c r="BO552" t="s">
        <v>74</v>
      </c>
      <c r="BP552" t="s">
        <v>74</v>
      </c>
      <c r="BQ552" t="s">
        <v>74</v>
      </c>
      <c r="BR552" t="s">
        <v>101</v>
      </c>
      <c r="BS552" t="s">
        <v>8941</v>
      </c>
      <c r="BT552" t="str">
        <f>HYPERLINK("https%3A%2F%2Fwww.webofscience.com%2Fwos%2Fwoscc%2Ffull-record%2FWOS:000244610300002","View Full Record in Web of Science")</f>
        <v>View Full Record in Web of Science</v>
      </c>
    </row>
    <row r="553" spans="1:72" x14ac:dyDescent="0.15">
      <c r="A553" t="s">
        <v>72</v>
      </c>
      <c r="B553" t="s">
        <v>8942</v>
      </c>
      <c r="C553" t="s">
        <v>74</v>
      </c>
      <c r="D553" t="s">
        <v>74</v>
      </c>
      <c r="E553" t="s">
        <v>74</v>
      </c>
      <c r="F553" t="s">
        <v>8943</v>
      </c>
      <c r="G553" t="s">
        <v>74</v>
      </c>
      <c r="H553" t="s">
        <v>74</v>
      </c>
      <c r="I553" t="s">
        <v>8944</v>
      </c>
      <c r="J553" t="s">
        <v>2064</v>
      </c>
      <c r="K553" t="s">
        <v>74</v>
      </c>
      <c r="L553" t="s">
        <v>74</v>
      </c>
      <c r="M553" t="s">
        <v>78</v>
      </c>
      <c r="N553" t="s">
        <v>79</v>
      </c>
      <c r="O553" t="s">
        <v>74</v>
      </c>
      <c r="P553" t="s">
        <v>74</v>
      </c>
      <c r="Q553" t="s">
        <v>74</v>
      </c>
      <c r="R553" t="s">
        <v>74</v>
      </c>
      <c r="S553" t="s">
        <v>74</v>
      </c>
      <c r="T553" t="s">
        <v>74</v>
      </c>
      <c r="U553" t="s">
        <v>8945</v>
      </c>
      <c r="V553" t="s">
        <v>8946</v>
      </c>
      <c r="W553" t="s">
        <v>8947</v>
      </c>
      <c r="X553" t="s">
        <v>8948</v>
      </c>
      <c r="Y553" t="s">
        <v>8949</v>
      </c>
      <c r="Z553" t="s">
        <v>8950</v>
      </c>
      <c r="AA553" t="s">
        <v>74</v>
      </c>
      <c r="AB553" t="s">
        <v>8951</v>
      </c>
      <c r="AC553" t="s">
        <v>74</v>
      </c>
      <c r="AD553" t="s">
        <v>74</v>
      </c>
      <c r="AE553" t="s">
        <v>74</v>
      </c>
      <c r="AF553" t="s">
        <v>74</v>
      </c>
      <c r="AG553">
        <v>35</v>
      </c>
      <c r="AH553">
        <v>16</v>
      </c>
      <c r="AI553">
        <v>18</v>
      </c>
      <c r="AJ553">
        <v>0</v>
      </c>
      <c r="AK553">
        <v>1</v>
      </c>
      <c r="AL553" t="s">
        <v>567</v>
      </c>
      <c r="AM553" t="s">
        <v>568</v>
      </c>
      <c r="AN553" t="s">
        <v>569</v>
      </c>
      <c r="AO553" t="s">
        <v>2071</v>
      </c>
      <c r="AP553" t="s">
        <v>2072</v>
      </c>
      <c r="AQ553" t="s">
        <v>74</v>
      </c>
      <c r="AR553" t="s">
        <v>2073</v>
      </c>
      <c r="AS553" t="s">
        <v>2074</v>
      </c>
      <c r="AT553" t="s">
        <v>8354</v>
      </c>
      <c r="AU553">
        <v>2007</v>
      </c>
      <c r="AV553">
        <v>37</v>
      </c>
      <c r="AW553">
        <v>4</v>
      </c>
      <c r="AX553" t="s">
        <v>74</v>
      </c>
      <c r="AY553" t="s">
        <v>74</v>
      </c>
      <c r="AZ553" t="s">
        <v>74</v>
      </c>
      <c r="BA553" t="s">
        <v>74</v>
      </c>
      <c r="BB553">
        <v>932</v>
      </c>
      <c r="BC553">
        <v>945</v>
      </c>
      <c r="BD553" t="s">
        <v>74</v>
      </c>
      <c r="BE553" t="s">
        <v>8952</v>
      </c>
      <c r="BF553" t="str">
        <f>HYPERLINK("http://dx.doi.org/10.1175/JPO3040.1","http://dx.doi.org/10.1175/JPO3040.1")</f>
        <v>http://dx.doi.org/10.1175/JPO3040.1</v>
      </c>
      <c r="BG553" t="s">
        <v>74</v>
      </c>
      <c r="BH553" t="s">
        <v>74</v>
      </c>
      <c r="BI553">
        <v>14</v>
      </c>
      <c r="BJ553" t="s">
        <v>221</v>
      </c>
      <c r="BK553" t="s">
        <v>98</v>
      </c>
      <c r="BL553" t="s">
        <v>221</v>
      </c>
      <c r="BM553" t="s">
        <v>8953</v>
      </c>
      <c r="BN553" t="s">
        <v>74</v>
      </c>
      <c r="BO553" t="s">
        <v>577</v>
      </c>
      <c r="BP553" t="s">
        <v>74</v>
      </c>
      <c r="BQ553" t="s">
        <v>74</v>
      </c>
      <c r="BR553" t="s">
        <v>101</v>
      </c>
      <c r="BS553" t="s">
        <v>8954</v>
      </c>
      <c r="BT553" t="str">
        <f>HYPERLINK("https%3A%2F%2Fwww.webofscience.com%2Fwos%2Fwoscc%2Ffull-record%2FWOS:000246151300009","View Full Record in Web of Science")</f>
        <v>View Full Record in Web of Science</v>
      </c>
    </row>
    <row r="554" spans="1:72" x14ac:dyDescent="0.15">
      <c r="A554" t="s">
        <v>72</v>
      </c>
      <c r="B554" t="s">
        <v>8955</v>
      </c>
      <c r="C554" t="s">
        <v>74</v>
      </c>
      <c r="D554" t="s">
        <v>74</v>
      </c>
      <c r="E554" t="s">
        <v>74</v>
      </c>
      <c r="F554" t="s">
        <v>8956</v>
      </c>
      <c r="G554" t="s">
        <v>74</v>
      </c>
      <c r="H554" t="s">
        <v>74</v>
      </c>
      <c r="I554" t="s">
        <v>8957</v>
      </c>
      <c r="J554" t="s">
        <v>8958</v>
      </c>
      <c r="K554" t="s">
        <v>74</v>
      </c>
      <c r="L554" t="s">
        <v>74</v>
      </c>
      <c r="M554" t="s">
        <v>78</v>
      </c>
      <c r="N554" t="s">
        <v>79</v>
      </c>
      <c r="O554" t="s">
        <v>74</v>
      </c>
      <c r="P554" t="s">
        <v>74</v>
      </c>
      <c r="Q554" t="s">
        <v>74</v>
      </c>
      <c r="R554" t="s">
        <v>74</v>
      </c>
      <c r="S554" t="s">
        <v>74</v>
      </c>
      <c r="T554" t="s">
        <v>8959</v>
      </c>
      <c r="U554" t="s">
        <v>8960</v>
      </c>
      <c r="V554" t="s">
        <v>8961</v>
      </c>
      <c r="W554" t="s">
        <v>8962</v>
      </c>
      <c r="X554" t="s">
        <v>8963</v>
      </c>
      <c r="Y554" t="s">
        <v>8964</v>
      </c>
      <c r="Z554" t="s">
        <v>74</v>
      </c>
      <c r="AA554" t="s">
        <v>74</v>
      </c>
      <c r="AB554" t="s">
        <v>8965</v>
      </c>
      <c r="AC554" t="s">
        <v>74</v>
      </c>
      <c r="AD554" t="s">
        <v>74</v>
      </c>
      <c r="AE554" t="s">
        <v>74</v>
      </c>
      <c r="AF554" t="s">
        <v>74</v>
      </c>
      <c r="AG554">
        <v>78</v>
      </c>
      <c r="AH554">
        <v>3</v>
      </c>
      <c r="AI554">
        <v>4</v>
      </c>
      <c r="AJ554">
        <v>0</v>
      </c>
      <c r="AK554">
        <v>2</v>
      </c>
      <c r="AL554" t="s">
        <v>8966</v>
      </c>
      <c r="AM554" t="s">
        <v>8967</v>
      </c>
      <c r="AN554" t="s">
        <v>8968</v>
      </c>
      <c r="AO554" t="s">
        <v>8969</v>
      </c>
      <c r="AP554" t="s">
        <v>8970</v>
      </c>
      <c r="AQ554" t="s">
        <v>74</v>
      </c>
      <c r="AR554" t="s">
        <v>8971</v>
      </c>
      <c r="AS554" t="s">
        <v>8972</v>
      </c>
      <c r="AT554" t="s">
        <v>8354</v>
      </c>
      <c r="AU554">
        <v>2007</v>
      </c>
      <c r="AV554">
        <v>69</v>
      </c>
      <c r="AW554">
        <v>4</v>
      </c>
      <c r="AX554" t="s">
        <v>74</v>
      </c>
      <c r="AY554" t="s">
        <v>74</v>
      </c>
      <c r="AZ554" t="s">
        <v>74</v>
      </c>
      <c r="BA554" t="s">
        <v>74</v>
      </c>
      <c r="BB554">
        <v>813</v>
      </c>
      <c r="BC554">
        <v>826</v>
      </c>
      <c r="BD554" t="s">
        <v>74</v>
      </c>
      <c r="BE554" t="s">
        <v>74</v>
      </c>
      <c r="BF554" t="s">
        <v>74</v>
      </c>
      <c r="BG554" t="s">
        <v>74</v>
      </c>
      <c r="BH554" t="s">
        <v>74</v>
      </c>
      <c r="BI554">
        <v>14</v>
      </c>
      <c r="BJ554" t="s">
        <v>151</v>
      </c>
      <c r="BK554" t="s">
        <v>98</v>
      </c>
      <c r="BL554" t="s">
        <v>152</v>
      </c>
      <c r="BM554" t="s">
        <v>8973</v>
      </c>
      <c r="BN554" t="s">
        <v>74</v>
      </c>
      <c r="BO554" t="s">
        <v>74</v>
      </c>
      <c r="BP554" t="s">
        <v>74</v>
      </c>
      <c r="BQ554" t="s">
        <v>74</v>
      </c>
      <c r="BR554" t="s">
        <v>101</v>
      </c>
      <c r="BS554" t="s">
        <v>8974</v>
      </c>
      <c r="BT554" t="str">
        <f>HYPERLINK("https%3A%2F%2Fwww.webofscience.com%2Fwos%2Fwoscc%2Ffull-record%2FWOS:000247089100018","View Full Record in Web of Science")</f>
        <v>View Full Record in Web of Science</v>
      </c>
    </row>
    <row r="555" spans="1:72" x14ac:dyDescent="0.15">
      <c r="A555" t="s">
        <v>72</v>
      </c>
      <c r="B555" t="s">
        <v>8975</v>
      </c>
      <c r="C555" t="s">
        <v>74</v>
      </c>
      <c r="D555" t="s">
        <v>74</v>
      </c>
      <c r="E555" t="s">
        <v>74</v>
      </c>
      <c r="F555" t="s">
        <v>8976</v>
      </c>
      <c r="G555" t="s">
        <v>74</v>
      </c>
      <c r="H555" t="s">
        <v>74</v>
      </c>
      <c r="I555" t="s">
        <v>8977</v>
      </c>
      <c r="J555" t="s">
        <v>8958</v>
      </c>
      <c r="K555" t="s">
        <v>74</v>
      </c>
      <c r="L555" t="s">
        <v>74</v>
      </c>
      <c r="M555" t="s">
        <v>78</v>
      </c>
      <c r="N555" t="s">
        <v>620</v>
      </c>
      <c r="O555" t="s">
        <v>74</v>
      </c>
      <c r="P555" t="s">
        <v>74</v>
      </c>
      <c r="Q555" t="s">
        <v>74</v>
      </c>
      <c r="R555" t="s">
        <v>74</v>
      </c>
      <c r="S555" t="s">
        <v>74</v>
      </c>
      <c r="T555" t="s">
        <v>74</v>
      </c>
      <c r="U555" t="s">
        <v>74</v>
      </c>
      <c r="V555" t="s">
        <v>74</v>
      </c>
      <c r="W555" t="s">
        <v>8978</v>
      </c>
      <c r="X555" t="s">
        <v>231</v>
      </c>
      <c r="Y555" t="s">
        <v>8979</v>
      </c>
      <c r="Z555" t="s">
        <v>74</v>
      </c>
      <c r="AA555" t="s">
        <v>74</v>
      </c>
      <c r="AB555" t="s">
        <v>8980</v>
      </c>
      <c r="AC555" t="s">
        <v>74</v>
      </c>
      <c r="AD555" t="s">
        <v>74</v>
      </c>
      <c r="AE555" t="s">
        <v>74</v>
      </c>
      <c r="AF555" t="s">
        <v>74</v>
      </c>
      <c r="AG555">
        <v>0</v>
      </c>
      <c r="AH555">
        <v>0</v>
      </c>
      <c r="AI555">
        <v>0</v>
      </c>
      <c r="AJ555">
        <v>0</v>
      </c>
      <c r="AK555">
        <v>0</v>
      </c>
      <c r="AL555" t="s">
        <v>8981</v>
      </c>
      <c r="AM555" t="s">
        <v>235</v>
      </c>
      <c r="AN555" t="s">
        <v>8982</v>
      </c>
      <c r="AO555" t="s">
        <v>8969</v>
      </c>
      <c r="AP555" t="s">
        <v>74</v>
      </c>
      <c r="AQ555" t="s">
        <v>74</v>
      </c>
      <c r="AR555" t="s">
        <v>8971</v>
      </c>
      <c r="AS555" t="s">
        <v>8972</v>
      </c>
      <c r="AT555" t="s">
        <v>8354</v>
      </c>
      <c r="AU555">
        <v>2007</v>
      </c>
      <c r="AV555">
        <v>69</v>
      </c>
      <c r="AW555">
        <v>4</v>
      </c>
      <c r="AX555" t="s">
        <v>74</v>
      </c>
      <c r="AY555" t="s">
        <v>74</v>
      </c>
      <c r="AZ555" t="s">
        <v>74</v>
      </c>
      <c r="BA555" t="s">
        <v>74</v>
      </c>
      <c r="BB555">
        <v>870</v>
      </c>
      <c r="BC555">
        <v>871</v>
      </c>
      <c r="BD555" t="s">
        <v>74</v>
      </c>
      <c r="BE555" t="s">
        <v>74</v>
      </c>
      <c r="BF555" t="s">
        <v>74</v>
      </c>
      <c r="BG555" t="s">
        <v>74</v>
      </c>
      <c r="BH555" t="s">
        <v>74</v>
      </c>
      <c r="BI555">
        <v>2</v>
      </c>
      <c r="BJ555" t="s">
        <v>151</v>
      </c>
      <c r="BK555" t="s">
        <v>98</v>
      </c>
      <c r="BL555" t="s">
        <v>152</v>
      </c>
      <c r="BM555" t="s">
        <v>8973</v>
      </c>
      <c r="BN555" t="s">
        <v>74</v>
      </c>
      <c r="BO555" t="s">
        <v>74</v>
      </c>
      <c r="BP555" t="s">
        <v>74</v>
      </c>
      <c r="BQ555" t="s">
        <v>74</v>
      </c>
      <c r="BR555" t="s">
        <v>101</v>
      </c>
      <c r="BS555" t="s">
        <v>8983</v>
      </c>
      <c r="BT555" t="str">
        <f>HYPERLINK("https%3A%2F%2Fwww.webofscience.com%2Fwos%2Fwoscc%2Ffull-record%2FWOS:000247089100029","View Full Record in Web of Science")</f>
        <v>View Full Record in Web of Science</v>
      </c>
    </row>
    <row r="556" spans="1:72" x14ac:dyDescent="0.15">
      <c r="A556" t="s">
        <v>72</v>
      </c>
      <c r="B556" t="s">
        <v>8984</v>
      </c>
      <c r="C556" t="s">
        <v>74</v>
      </c>
      <c r="D556" t="s">
        <v>74</v>
      </c>
      <c r="E556" t="s">
        <v>74</v>
      </c>
      <c r="F556" t="s">
        <v>8985</v>
      </c>
      <c r="G556" t="s">
        <v>74</v>
      </c>
      <c r="H556" t="s">
        <v>74</v>
      </c>
      <c r="I556" t="s">
        <v>8986</v>
      </c>
      <c r="J556" t="s">
        <v>8987</v>
      </c>
      <c r="K556" t="s">
        <v>74</v>
      </c>
      <c r="L556" t="s">
        <v>74</v>
      </c>
      <c r="M556" t="s">
        <v>78</v>
      </c>
      <c r="N556" t="s">
        <v>79</v>
      </c>
      <c r="O556" t="s">
        <v>74</v>
      </c>
      <c r="P556" t="s">
        <v>74</v>
      </c>
      <c r="Q556" t="s">
        <v>74</v>
      </c>
      <c r="R556" t="s">
        <v>74</v>
      </c>
      <c r="S556" t="s">
        <v>74</v>
      </c>
      <c r="T556" t="s">
        <v>8988</v>
      </c>
      <c r="U556" t="s">
        <v>8989</v>
      </c>
      <c r="V556" t="s">
        <v>8990</v>
      </c>
      <c r="W556" t="s">
        <v>8991</v>
      </c>
      <c r="X556" t="s">
        <v>8992</v>
      </c>
      <c r="Y556" t="s">
        <v>8993</v>
      </c>
      <c r="Z556" t="s">
        <v>8994</v>
      </c>
      <c r="AA556" t="s">
        <v>8995</v>
      </c>
      <c r="AB556" t="s">
        <v>8996</v>
      </c>
      <c r="AC556" t="s">
        <v>1737</v>
      </c>
      <c r="AD556" t="s">
        <v>361</v>
      </c>
      <c r="AE556" t="s">
        <v>74</v>
      </c>
      <c r="AF556" t="s">
        <v>74</v>
      </c>
      <c r="AG556">
        <v>71</v>
      </c>
      <c r="AH556">
        <v>32</v>
      </c>
      <c r="AI556">
        <v>34</v>
      </c>
      <c r="AJ556">
        <v>1</v>
      </c>
      <c r="AK556">
        <v>32</v>
      </c>
      <c r="AL556" t="s">
        <v>1202</v>
      </c>
      <c r="AM556" t="s">
        <v>1203</v>
      </c>
      <c r="AN556" t="s">
        <v>1204</v>
      </c>
      <c r="AO556" t="s">
        <v>8997</v>
      </c>
      <c r="AP556" t="s">
        <v>8998</v>
      </c>
      <c r="AQ556" t="s">
        <v>74</v>
      </c>
      <c r="AR556" t="s">
        <v>8999</v>
      </c>
      <c r="AS556" t="s">
        <v>9000</v>
      </c>
      <c r="AT556" t="s">
        <v>8354</v>
      </c>
      <c r="AU556">
        <v>2007</v>
      </c>
      <c r="AV556">
        <v>271</v>
      </c>
      <c r="AW556">
        <v>4</v>
      </c>
      <c r="AX556" t="s">
        <v>74</v>
      </c>
      <c r="AY556" t="s">
        <v>74</v>
      </c>
      <c r="AZ556" t="s">
        <v>74</v>
      </c>
      <c r="BA556" t="s">
        <v>74</v>
      </c>
      <c r="BB556">
        <v>408</v>
      </c>
      <c r="BC556">
        <v>417</v>
      </c>
      <c r="BD556" t="s">
        <v>74</v>
      </c>
      <c r="BE556" t="s">
        <v>9001</v>
      </c>
      <c r="BF556" t="str">
        <f>HYPERLINK("http://dx.doi.org/10.1111/j.1469-7998.2006.00224.x","http://dx.doi.org/10.1111/j.1469-7998.2006.00224.x")</f>
        <v>http://dx.doi.org/10.1111/j.1469-7998.2006.00224.x</v>
      </c>
      <c r="BG556" t="s">
        <v>74</v>
      </c>
      <c r="BH556" t="s">
        <v>74</v>
      </c>
      <c r="BI556">
        <v>10</v>
      </c>
      <c r="BJ556" t="s">
        <v>507</v>
      </c>
      <c r="BK556" t="s">
        <v>98</v>
      </c>
      <c r="BL556" t="s">
        <v>507</v>
      </c>
      <c r="BM556" t="s">
        <v>9002</v>
      </c>
      <c r="BN556" t="s">
        <v>74</v>
      </c>
      <c r="BO556" t="s">
        <v>74</v>
      </c>
      <c r="BP556" t="s">
        <v>74</v>
      </c>
      <c r="BQ556" t="s">
        <v>74</v>
      </c>
      <c r="BR556" t="s">
        <v>101</v>
      </c>
      <c r="BS556" t="s">
        <v>9003</v>
      </c>
      <c r="BT556" t="str">
        <f>HYPERLINK("https%3A%2F%2Fwww.webofscience.com%2Fwos%2Fwoscc%2Ffull-record%2FWOS:000244796600005","View Full Record in Web of Science")</f>
        <v>View Full Record in Web of Science</v>
      </c>
    </row>
    <row r="557" spans="1:72" x14ac:dyDescent="0.15">
      <c r="A557" t="s">
        <v>72</v>
      </c>
      <c r="B557" t="s">
        <v>9004</v>
      </c>
      <c r="C557" t="s">
        <v>74</v>
      </c>
      <c r="D557" t="s">
        <v>74</v>
      </c>
      <c r="E557" t="s">
        <v>74</v>
      </c>
      <c r="F557" t="s">
        <v>9005</v>
      </c>
      <c r="G557" t="s">
        <v>74</v>
      </c>
      <c r="H557" t="s">
        <v>9006</v>
      </c>
      <c r="I557" t="s">
        <v>9007</v>
      </c>
      <c r="J557" t="s">
        <v>9008</v>
      </c>
      <c r="K557" t="s">
        <v>74</v>
      </c>
      <c r="L557" t="s">
        <v>74</v>
      </c>
      <c r="M557" t="s">
        <v>78</v>
      </c>
      <c r="N557" t="s">
        <v>248</v>
      </c>
      <c r="O557" t="s">
        <v>74</v>
      </c>
      <c r="P557" t="s">
        <v>74</v>
      </c>
      <c r="Q557" t="s">
        <v>74</v>
      </c>
      <c r="R557" t="s">
        <v>74</v>
      </c>
      <c r="S557" t="s">
        <v>74</v>
      </c>
      <c r="T557" t="s">
        <v>9009</v>
      </c>
      <c r="U557" t="s">
        <v>9010</v>
      </c>
      <c r="V557" t="s">
        <v>9011</v>
      </c>
      <c r="W557" t="s">
        <v>9012</v>
      </c>
      <c r="X557" t="s">
        <v>9013</v>
      </c>
      <c r="Y557" t="s">
        <v>9014</v>
      </c>
      <c r="Z557" t="s">
        <v>9015</v>
      </c>
      <c r="AA557" t="s">
        <v>9016</v>
      </c>
      <c r="AB557" t="s">
        <v>9017</v>
      </c>
      <c r="AC557" t="s">
        <v>74</v>
      </c>
      <c r="AD557" t="s">
        <v>74</v>
      </c>
      <c r="AE557" t="s">
        <v>74</v>
      </c>
      <c r="AF557" t="s">
        <v>74</v>
      </c>
      <c r="AG557">
        <v>218</v>
      </c>
      <c r="AH557">
        <v>201</v>
      </c>
      <c r="AI557">
        <v>241</v>
      </c>
      <c r="AJ557">
        <v>6</v>
      </c>
      <c r="AK557">
        <v>139</v>
      </c>
      <c r="AL557" t="s">
        <v>1202</v>
      </c>
      <c r="AM557" t="s">
        <v>1203</v>
      </c>
      <c r="AN557" t="s">
        <v>1204</v>
      </c>
      <c r="AO557" t="s">
        <v>9018</v>
      </c>
      <c r="AP557" t="s">
        <v>9019</v>
      </c>
      <c r="AQ557" t="s">
        <v>74</v>
      </c>
      <c r="AR557" t="s">
        <v>9020</v>
      </c>
      <c r="AS557" t="s">
        <v>9021</v>
      </c>
      <c r="AT557" t="s">
        <v>8354</v>
      </c>
      <c r="AU557">
        <v>2007</v>
      </c>
      <c r="AV557">
        <v>37</v>
      </c>
      <c r="AW557">
        <v>2</v>
      </c>
      <c r="AX557" t="s">
        <v>74</v>
      </c>
      <c r="AY557" t="s">
        <v>74</v>
      </c>
      <c r="AZ557" t="s">
        <v>74</v>
      </c>
      <c r="BA557" t="s">
        <v>74</v>
      </c>
      <c r="BB557">
        <v>116</v>
      </c>
      <c r="BC557">
        <v>175</v>
      </c>
      <c r="BD557" t="s">
        <v>74</v>
      </c>
      <c r="BE557" t="s">
        <v>9022</v>
      </c>
      <c r="BF557" t="str">
        <f>HYPERLINK("http://dx.doi.org/10.1111/j.1365-2907.2007.00106.x","http://dx.doi.org/10.1111/j.1365-2907.2007.00106.x")</f>
        <v>http://dx.doi.org/10.1111/j.1365-2907.2007.00106.x</v>
      </c>
      <c r="BG557" t="s">
        <v>74</v>
      </c>
      <c r="BH557" t="s">
        <v>74</v>
      </c>
      <c r="BI557">
        <v>60</v>
      </c>
      <c r="BJ557" t="s">
        <v>2154</v>
      </c>
      <c r="BK557" t="s">
        <v>98</v>
      </c>
      <c r="BL557" t="s">
        <v>2155</v>
      </c>
      <c r="BM557" t="s">
        <v>9023</v>
      </c>
      <c r="BN557" t="s">
        <v>74</v>
      </c>
      <c r="BO557" t="s">
        <v>198</v>
      </c>
      <c r="BP557" t="s">
        <v>74</v>
      </c>
      <c r="BQ557" t="s">
        <v>74</v>
      </c>
      <c r="BR557" t="s">
        <v>101</v>
      </c>
      <c r="BS557" t="s">
        <v>9024</v>
      </c>
      <c r="BT557" t="str">
        <f>HYPERLINK("https%3A%2F%2Fwww.webofscience.com%2Fwos%2Fwoscc%2Ffull-record%2FWOS:000247227900002","View Full Record in Web of Science")</f>
        <v>View Full Record in Web of Science</v>
      </c>
    </row>
    <row r="558" spans="1:72" x14ac:dyDescent="0.15">
      <c r="A558" t="s">
        <v>72</v>
      </c>
      <c r="B558" t="s">
        <v>9025</v>
      </c>
      <c r="C558" t="s">
        <v>74</v>
      </c>
      <c r="D558" t="s">
        <v>74</v>
      </c>
      <c r="E558" t="s">
        <v>74</v>
      </c>
      <c r="F558" t="s">
        <v>9026</v>
      </c>
      <c r="G558" t="s">
        <v>74</v>
      </c>
      <c r="H558" t="s">
        <v>74</v>
      </c>
      <c r="I558" t="s">
        <v>9027</v>
      </c>
      <c r="J558" t="s">
        <v>2161</v>
      </c>
      <c r="K558" t="s">
        <v>74</v>
      </c>
      <c r="L558" t="s">
        <v>74</v>
      </c>
      <c r="M558" t="s">
        <v>78</v>
      </c>
      <c r="N558" t="s">
        <v>79</v>
      </c>
      <c r="O558" t="s">
        <v>74</v>
      </c>
      <c r="P558" t="s">
        <v>74</v>
      </c>
      <c r="Q558" t="s">
        <v>74</v>
      </c>
      <c r="R558" t="s">
        <v>74</v>
      </c>
      <c r="S558" t="s">
        <v>74</v>
      </c>
      <c r="T558" t="s">
        <v>74</v>
      </c>
      <c r="U558" t="s">
        <v>9028</v>
      </c>
      <c r="V558" t="s">
        <v>9029</v>
      </c>
      <c r="W558" t="s">
        <v>9030</v>
      </c>
      <c r="X558" t="s">
        <v>9031</v>
      </c>
      <c r="Y558" t="s">
        <v>9032</v>
      </c>
      <c r="Z558" t="s">
        <v>9033</v>
      </c>
      <c r="AA558" t="s">
        <v>9034</v>
      </c>
      <c r="AB558" t="s">
        <v>9035</v>
      </c>
      <c r="AC558" t="s">
        <v>9036</v>
      </c>
      <c r="AD558" t="s">
        <v>140</v>
      </c>
      <c r="AE558" t="s">
        <v>74</v>
      </c>
      <c r="AF558" t="s">
        <v>74</v>
      </c>
      <c r="AG558">
        <v>55</v>
      </c>
      <c r="AH558">
        <v>14</v>
      </c>
      <c r="AI558">
        <v>15</v>
      </c>
      <c r="AJ558">
        <v>0</v>
      </c>
      <c r="AK558">
        <v>10</v>
      </c>
      <c r="AL558" t="s">
        <v>2170</v>
      </c>
      <c r="AM558" t="s">
        <v>2171</v>
      </c>
      <c r="AN558" t="s">
        <v>2172</v>
      </c>
      <c r="AO558" t="s">
        <v>2173</v>
      </c>
      <c r="AP558" t="s">
        <v>2174</v>
      </c>
      <c r="AQ558" t="s">
        <v>74</v>
      </c>
      <c r="AR558" t="s">
        <v>2175</v>
      </c>
      <c r="AS558" t="s">
        <v>2176</v>
      </c>
      <c r="AT558" t="s">
        <v>8354</v>
      </c>
      <c r="AU558">
        <v>2007</v>
      </c>
      <c r="AV558">
        <v>151</v>
      </c>
      <c r="AW558">
        <v>2</v>
      </c>
      <c r="AX558" t="s">
        <v>74</v>
      </c>
      <c r="AY558" t="s">
        <v>74</v>
      </c>
      <c r="AZ558" t="s">
        <v>74</v>
      </c>
      <c r="BA558" t="s">
        <v>74</v>
      </c>
      <c r="BB558">
        <v>607</v>
      </c>
      <c r="BC558">
        <v>616</v>
      </c>
      <c r="BD558" t="s">
        <v>74</v>
      </c>
      <c r="BE558" t="s">
        <v>9037</v>
      </c>
      <c r="BF558" t="str">
        <f>HYPERLINK("http://dx.doi.org/10.1007/s00227-006-0496-9","http://dx.doi.org/10.1007/s00227-006-0496-9")</f>
        <v>http://dx.doi.org/10.1007/s00227-006-0496-9</v>
      </c>
      <c r="BG558" t="s">
        <v>74</v>
      </c>
      <c r="BH558" t="s">
        <v>74</v>
      </c>
      <c r="BI558">
        <v>10</v>
      </c>
      <c r="BJ558" t="s">
        <v>2178</v>
      </c>
      <c r="BK558" t="s">
        <v>98</v>
      </c>
      <c r="BL558" t="s">
        <v>2178</v>
      </c>
      <c r="BM558" t="s">
        <v>9038</v>
      </c>
      <c r="BN558" t="s">
        <v>74</v>
      </c>
      <c r="BO558" t="s">
        <v>74</v>
      </c>
      <c r="BP558" t="s">
        <v>74</v>
      </c>
      <c r="BQ558" t="s">
        <v>74</v>
      </c>
      <c r="BR558" t="s">
        <v>101</v>
      </c>
      <c r="BS558" t="s">
        <v>9039</v>
      </c>
      <c r="BT558" t="str">
        <f>HYPERLINK("https%3A%2F%2Fwww.webofscience.com%2Fwos%2Fwoscc%2Ffull-record%2FWOS:000245125400017","View Full Record in Web of Science")</f>
        <v>View Full Record in Web of Science</v>
      </c>
    </row>
    <row r="559" spans="1:72" x14ac:dyDescent="0.15">
      <c r="A559" t="s">
        <v>72</v>
      </c>
      <c r="B559" t="s">
        <v>9040</v>
      </c>
      <c r="C559" t="s">
        <v>74</v>
      </c>
      <c r="D559" t="s">
        <v>74</v>
      </c>
      <c r="E559" t="s">
        <v>74</v>
      </c>
      <c r="F559" t="s">
        <v>9041</v>
      </c>
      <c r="G559" t="s">
        <v>74</v>
      </c>
      <c r="H559" t="s">
        <v>74</v>
      </c>
      <c r="I559" t="s">
        <v>9042</v>
      </c>
      <c r="J559" t="s">
        <v>4046</v>
      </c>
      <c r="K559" t="s">
        <v>74</v>
      </c>
      <c r="L559" t="s">
        <v>74</v>
      </c>
      <c r="M559" t="s">
        <v>78</v>
      </c>
      <c r="N559" t="s">
        <v>9043</v>
      </c>
      <c r="O559" t="s">
        <v>74</v>
      </c>
      <c r="P559" t="s">
        <v>74</v>
      </c>
      <c r="Q559" t="s">
        <v>74</v>
      </c>
      <c r="R559" t="s">
        <v>74</v>
      </c>
      <c r="S559" t="s">
        <v>74</v>
      </c>
      <c r="T559" t="s">
        <v>9044</v>
      </c>
      <c r="U559" t="s">
        <v>9045</v>
      </c>
      <c r="V559" t="s">
        <v>9046</v>
      </c>
      <c r="W559" t="s">
        <v>9047</v>
      </c>
      <c r="X559" t="s">
        <v>6495</v>
      </c>
      <c r="Y559" t="s">
        <v>9048</v>
      </c>
      <c r="Z559" t="s">
        <v>9049</v>
      </c>
      <c r="AA559" t="s">
        <v>74</v>
      </c>
      <c r="AB559" t="s">
        <v>74</v>
      </c>
      <c r="AC559" t="s">
        <v>74</v>
      </c>
      <c r="AD559" t="s">
        <v>74</v>
      </c>
      <c r="AE559" t="s">
        <v>74</v>
      </c>
      <c r="AF559" t="s">
        <v>74</v>
      </c>
      <c r="AG559">
        <v>62</v>
      </c>
      <c r="AH559">
        <v>34</v>
      </c>
      <c r="AI559">
        <v>41</v>
      </c>
      <c r="AJ559">
        <v>0</v>
      </c>
      <c r="AK559">
        <v>35</v>
      </c>
      <c r="AL559" t="s">
        <v>1202</v>
      </c>
      <c r="AM559" t="s">
        <v>1203</v>
      </c>
      <c r="AN559" t="s">
        <v>1204</v>
      </c>
      <c r="AO559" t="s">
        <v>4055</v>
      </c>
      <c r="AP559" t="s">
        <v>4056</v>
      </c>
      <c r="AQ559" t="s">
        <v>74</v>
      </c>
      <c r="AR559" t="s">
        <v>4057</v>
      </c>
      <c r="AS559" t="s">
        <v>4058</v>
      </c>
      <c r="AT559" t="s">
        <v>8354</v>
      </c>
      <c r="AU559">
        <v>2007</v>
      </c>
      <c r="AV559">
        <v>23</v>
      </c>
      <c r="AW559">
        <v>2</v>
      </c>
      <c r="AX559" t="s">
        <v>74</v>
      </c>
      <c r="AY559" t="s">
        <v>74</v>
      </c>
      <c r="AZ559" t="s">
        <v>74</v>
      </c>
      <c r="BA559" t="s">
        <v>74</v>
      </c>
      <c r="BB559">
        <v>287</v>
      </c>
      <c r="BC559">
        <v>305</v>
      </c>
      <c r="BD559" t="s">
        <v>74</v>
      </c>
      <c r="BE559" t="s">
        <v>9050</v>
      </c>
      <c r="BF559" t="str">
        <f>HYPERLINK("http://dx.doi.org/10.1111/j.1748-7692.2007.00109.x","http://dx.doi.org/10.1111/j.1748-7692.2007.00109.x")</f>
        <v>http://dx.doi.org/10.1111/j.1748-7692.2007.00109.x</v>
      </c>
      <c r="BG559" t="s">
        <v>74</v>
      </c>
      <c r="BH559" t="s">
        <v>74</v>
      </c>
      <c r="BI559">
        <v>19</v>
      </c>
      <c r="BJ559" t="s">
        <v>1956</v>
      </c>
      <c r="BK559" t="s">
        <v>98</v>
      </c>
      <c r="BL559" t="s">
        <v>1956</v>
      </c>
      <c r="BM559" t="s">
        <v>9051</v>
      </c>
      <c r="BN559" t="s">
        <v>74</v>
      </c>
      <c r="BO559" t="s">
        <v>154</v>
      </c>
      <c r="BP559" t="s">
        <v>74</v>
      </c>
      <c r="BQ559" t="s">
        <v>74</v>
      </c>
      <c r="BR559" t="s">
        <v>101</v>
      </c>
      <c r="BS559" t="s">
        <v>9052</v>
      </c>
      <c r="BT559" t="str">
        <f>HYPERLINK("https%3A%2F%2Fwww.webofscience.com%2Fwos%2Fwoscc%2Ffull-record%2FWOS:000245546600004","View Full Record in Web of Science")</f>
        <v>View Full Record in Web of Science</v>
      </c>
    </row>
    <row r="560" spans="1:72" x14ac:dyDescent="0.15">
      <c r="A560" t="s">
        <v>72</v>
      </c>
      <c r="B560" t="s">
        <v>2215</v>
      </c>
      <c r="C560" t="s">
        <v>74</v>
      </c>
      <c r="D560" t="s">
        <v>74</v>
      </c>
      <c r="E560" t="s">
        <v>74</v>
      </c>
      <c r="F560" t="s">
        <v>2215</v>
      </c>
      <c r="G560" t="s">
        <v>74</v>
      </c>
      <c r="H560" t="s">
        <v>74</v>
      </c>
      <c r="I560" t="s">
        <v>9053</v>
      </c>
      <c r="J560" t="s">
        <v>2217</v>
      </c>
      <c r="K560" t="s">
        <v>74</v>
      </c>
      <c r="L560" t="s">
        <v>74</v>
      </c>
      <c r="M560" t="s">
        <v>78</v>
      </c>
      <c r="N560" t="s">
        <v>229</v>
      </c>
      <c r="O560" t="s">
        <v>74</v>
      </c>
      <c r="P560" t="s">
        <v>74</v>
      </c>
      <c r="Q560" t="s">
        <v>74</v>
      </c>
      <c r="R560" t="s">
        <v>74</v>
      </c>
      <c r="S560" t="s">
        <v>74</v>
      </c>
      <c r="T560" t="s">
        <v>74</v>
      </c>
      <c r="U560" t="s">
        <v>74</v>
      </c>
      <c r="V560" t="s">
        <v>74</v>
      </c>
      <c r="W560" t="s">
        <v>74</v>
      </c>
      <c r="X560" t="s">
        <v>74</v>
      </c>
      <c r="Y560" t="s">
        <v>74</v>
      </c>
      <c r="Z560" t="s">
        <v>74</v>
      </c>
      <c r="AA560" t="s">
        <v>74</v>
      </c>
      <c r="AB560" t="s">
        <v>74</v>
      </c>
      <c r="AC560" t="s">
        <v>74</v>
      </c>
      <c r="AD560" t="s">
        <v>74</v>
      </c>
      <c r="AE560" t="s">
        <v>74</v>
      </c>
      <c r="AF560" t="s">
        <v>74</v>
      </c>
      <c r="AG560">
        <v>0</v>
      </c>
      <c r="AH560">
        <v>0</v>
      </c>
      <c r="AI560">
        <v>0</v>
      </c>
      <c r="AJ560">
        <v>0</v>
      </c>
      <c r="AK560">
        <v>0</v>
      </c>
      <c r="AL560" t="s">
        <v>1503</v>
      </c>
      <c r="AM560" t="s">
        <v>1504</v>
      </c>
      <c r="AN560" t="s">
        <v>1505</v>
      </c>
      <c r="AO560" t="s">
        <v>2218</v>
      </c>
      <c r="AP560" t="s">
        <v>2219</v>
      </c>
      <c r="AQ560" t="s">
        <v>74</v>
      </c>
      <c r="AR560" t="s">
        <v>2220</v>
      </c>
      <c r="AS560" t="s">
        <v>2221</v>
      </c>
      <c r="AT560" t="s">
        <v>8354</v>
      </c>
      <c r="AU560">
        <v>2007</v>
      </c>
      <c r="AV560">
        <v>54</v>
      </c>
      <c r="AW560">
        <v>4</v>
      </c>
      <c r="AX560" t="s">
        <v>74</v>
      </c>
      <c r="AY560" t="s">
        <v>74</v>
      </c>
      <c r="AZ560" t="s">
        <v>74</v>
      </c>
      <c r="BA560" t="s">
        <v>74</v>
      </c>
      <c r="BB560">
        <v>370</v>
      </c>
      <c r="BC560">
        <v>370</v>
      </c>
      <c r="BD560" t="s">
        <v>74</v>
      </c>
      <c r="BE560" t="s">
        <v>74</v>
      </c>
      <c r="BF560" t="s">
        <v>74</v>
      </c>
      <c r="BG560" t="s">
        <v>74</v>
      </c>
      <c r="BH560" t="s">
        <v>74</v>
      </c>
      <c r="BI560">
        <v>1</v>
      </c>
      <c r="BJ560" t="s">
        <v>2222</v>
      </c>
      <c r="BK560" t="s">
        <v>98</v>
      </c>
      <c r="BL560" t="s">
        <v>283</v>
      </c>
      <c r="BM560" t="s">
        <v>9054</v>
      </c>
      <c r="BN560" t="s">
        <v>74</v>
      </c>
      <c r="BO560" t="s">
        <v>74</v>
      </c>
      <c r="BP560" t="s">
        <v>74</v>
      </c>
      <c r="BQ560" t="s">
        <v>74</v>
      </c>
      <c r="BR560" t="s">
        <v>101</v>
      </c>
      <c r="BS560" t="s">
        <v>9055</v>
      </c>
      <c r="BT560" t="str">
        <f>HYPERLINK("https%3A%2F%2Fwww.webofscience.com%2Fwos%2Fwoscc%2Ffull-record%2FWOS:000246073400003","View Full Record in Web of Science")</f>
        <v>View Full Record in Web of Science</v>
      </c>
    </row>
    <row r="561" spans="1:72" x14ac:dyDescent="0.15">
      <c r="A561" t="s">
        <v>72</v>
      </c>
      <c r="B561" t="s">
        <v>9056</v>
      </c>
      <c r="C561" t="s">
        <v>74</v>
      </c>
      <c r="D561" t="s">
        <v>74</v>
      </c>
      <c r="E561" t="s">
        <v>74</v>
      </c>
      <c r="F561" t="s">
        <v>9057</v>
      </c>
      <c r="G561" t="s">
        <v>74</v>
      </c>
      <c r="H561" t="s">
        <v>74</v>
      </c>
      <c r="I561" t="s">
        <v>9058</v>
      </c>
      <c r="J561" t="s">
        <v>2217</v>
      </c>
      <c r="K561" t="s">
        <v>74</v>
      </c>
      <c r="L561" t="s">
        <v>74</v>
      </c>
      <c r="M561" t="s">
        <v>78</v>
      </c>
      <c r="N561" t="s">
        <v>79</v>
      </c>
      <c r="O561" t="s">
        <v>74</v>
      </c>
      <c r="P561" t="s">
        <v>74</v>
      </c>
      <c r="Q561" t="s">
        <v>74</v>
      </c>
      <c r="R561" t="s">
        <v>74</v>
      </c>
      <c r="S561" t="s">
        <v>74</v>
      </c>
      <c r="T561" t="s">
        <v>9059</v>
      </c>
      <c r="U561" t="s">
        <v>9060</v>
      </c>
      <c r="V561" t="s">
        <v>9061</v>
      </c>
      <c r="W561" t="s">
        <v>9062</v>
      </c>
      <c r="X561" t="s">
        <v>4215</v>
      </c>
      <c r="Y561" t="s">
        <v>9063</v>
      </c>
      <c r="Z561" t="s">
        <v>9064</v>
      </c>
      <c r="AA561" t="s">
        <v>9065</v>
      </c>
      <c r="AB561" t="s">
        <v>9066</v>
      </c>
      <c r="AC561" t="s">
        <v>74</v>
      </c>
      <c r="AD561" t="s">
        <v>74</v>
      </c>
      <c r="AE561" t="s">
        <v>74</v>
      </c>
      <c r="AF561" t="s">
        <v>74</v>
      </c>
      <c r="AG561">
        <v>13</v>
      </c>
      <c r="AH561">
        <v>24</v>
      </c>
      <c r="AI561">
        <v>24</v>
      </c>
      <c r="AJ561">
        <v>0</v>
      </c>
      <c r="AK561">
        <v>7</v>
      </c>
      <c r="AL561" t="s">
        <v>1503</v>
      </c>
      <c r="AM561" t="s">
        <v>1504</v>
      </c>
      <c r="AN561" t="s">
        <v>1505</v>
      </c>
      <c r="AO561" t="s">
        <v>2218</v>
      </c>
      <c r="AP561" t="s">
        <v>2219</v>
      </c>
      <c r="AQ561" t="s">
        <v>74</v>
      </c>
      <c r="AR561" t="s">
        <v>2220</v>
      </c>
      <c r="AS561" t="s">
        <v>2221</v>
      </c>
      <c r="AT561" t="s">
        <v>8354</v>
      </c>
      <c r="AU561">
        <v>2007</v>
      </c>
      <c r="AV561">
        <v>54</v>
      </c>
      <c r="AW561">
        <v>4</v>
      </c>
      <c r="AX561" t="s">
        <v>74</v>
      </c>
      <c r="AY561" t="s">
        <v>74</v>
      </c>
      <c r="AZ561" t="s">
        <v>74</v>
      </c>
      <c r="BA561" t="s">
        <v>74</v>
      </c>
      <c r="BB561">
        <v>434</v>
      </c>
      <c r="BC561">
        <v>440</v>
      </c>
      <c r="BD561" t="s">
        <v>74</v>
      </c>
      <c r="BE561" t="s">
        <v>9067</v>
      </c>
      <c r="BF561" t="str">
        <f>HYPERLINK("http://dx.doi.org/10.1016/j.marpolbul.2006.11.018","http://dx.doi.org/10.1016/j.marpolbul.2006.11.018")</f>
        <v>http://dx.doi.org/10.1016/j.marpolbul.2006.11.018</v>
      </c>
      <c r="BG561" t="s">
        <v>74</v>
      </c>
      <c r="BH561" t="s">
        <v>74</v>
      </c>
      <c r="BI561">
        <v>7</v>
      </c>
      <c r="BJ561" t="s">
        <v>2222</v>
      </c>
      <c r="BK561" t="s">
        <v>98</v>
      </c>
      <c r="BL561" t="s">
        <v>283</v>
      </c>
      <c r="BM561" t="s">
        <v>9054</v>
      </c>
      <c r="BN561">
        <v>17222431</v>
      </c>
      <c r="BO561" t="s">
        <v>74</v>
      </c>
      <c r="BP561" t="s">
        <v>74</v>
      </c>
      <c r="BQ561" t="s">
        <v>74</v>
      </c>
      <c r="BR561" t="s">
        <v>101</v>
      </c>
      <c r="BS561" t="s">
        <v>9068</v>
      </c>
      <c r="BT561" t="str">
        <f>HYPERLINK("https%3A%2F%2Fwww.webofscience.com%2Fwos%2Fwoscc%2Ffull-record%2FWOS:000246073400018","View Full Record in Web of Science")</f>
        <v>View Full Record in Web of Science</v>
      </c>
    </row>
    <row r="562" spans="1:72" x14ac:dyDescent="0.15">
      <c r="A562" t="s">
        <v>72</v>
      </c>
      <c r="B562" t="s">
        <v>9069</v>
      </c>
      <c r="C562" t="s">
        <v>74</v>
      </c>
      <c r="D562" t="s">
        <v>74</v>
      </c>
      <c r="E562" t="s">
        <v>74</v>
      </c>
      <c r="F562" t="s">
        <v>9070</v>
      </c>
      <c r="G562" t="s">
        <v>74</v>
      </c>
      <c r="H562" t="s">
        <v>74</v>
      </c>
      <c r="I562" t="s">
        <v>9071</v>
      </c>
      <c r="J562" t="s">
        <v>2320</v>
      </c>
      <c r="K562" t="s">
        <v>74</v>
      </c>
      <c r="L562" t="s">
        <v>74</v>
      </c>
      <c r="M562" t="s">
        <v>78</v>
      </c>
      <c r="N562" t="s">
        <v>79</v>
      </c>
      <c r="O562" t="s">
        <v>74</v>
      </c>
      <c r="P562" t="s">
        <v>74</v>
      </c>
      <c r="Q562" t="s">
        <v>74</v>
      </c>
      <c r="R562" t="s">
        <v>74</v>
      </c>
      <c r="S562" t="s">
        <v>74</v>
      </c>
      <c r="T562" t="s">
        <v>9072</v>
      </c>
      <c r="U562" t="s">
        <v>9073</v>
      </c>
      <c r="V562" t="s">
        <v>9074</v>
      </c>
      <c r="W562" t="s">
        <v>9075</v>
      </c>
      <c r="X562" t="s">
        <v>9076</v>
      </c>
      <c r="Y562" t="s">
        <v>9077</v>
      </c>
      <c r="Z562" t="s">
        <v>9078</v>
      </c>
      <c r="AA562" t="s">
        <v>9079</v>
      </c>
      <c r="AB562" t="s">
        <v>9080</v>
      </c>
      <c r="AC562" t="s">
        <v>74</v>
      </c>
      <c r="AD562" t="s">
        <v>74</v>
      </c>
      <c r="AE562" t="s">
        <v>74</v>
      </c>
      <c r="AF562" t="s">
        <v>74</v>
      </c>
      <c r="AG562">
        <v>60</v>
      </c>
      <c r="AH562">
        <v>67</v>
      </c>
      <c r="AI562">
        <v>74</v>
      </c>
      <c r="AJ562">
        <v>3</v>
      </c>
      <c r="AK562">
        <v>73</v>
      </c>
      <c r="AL562" t="s">
        <v>3589</v>
      </c>
      <c r="AM562" t="s">
        <v>1504</v>
      </c>
      <c r="AN562" t="s">
        <v>3590</v>
      </c>
      <c r="AO562" t="s">
        <v>2330</v>
      </c>
      <c r="AP562" t="s">
        <v>74</v>
      </c>
      <c r="AQ562" t="s">
        <v>74</v>
      </c>
      <c r="AR562" t="s">
        <v>2332</v>
      </c>
      <c r="AS562" t="s">
        <v>2333</v>
      </c>
      <c r="AT562" t="s">
        <v>8354</v>
      </c>
      <c r="AU562">
        <v>2007</v>
      </c>
      <c r="AV562">
        <v>16</v>
      </c>
      <c r="AW562">
        <v>7</v>
      </c>
      <c r="AX562" t="s">
        <v>74</v>
      </c>
      <c r="AY562" t="s">
        <v>74</v>
      </c>
      <c r="AZ562" t="s">
        <v>74</v>
      </c>
      <c r="BA562" t="s">
        <v>74</v>
      </c>
      <c r="BB562">
        <v>1481</v>
      </c>
      <c r="BC562">
        <v>1495</v>
      </c>
      <c r="BD562" t="s">
        <v>74</v>
      </c>
      <c r="BE562" t="s">
        <v>9081</v>
      </c>
      <c r="BF562" t="str">
        <f>HYPERLINK("http://dx.doi.org/10.1111/j.1365-294X.2007.03244.x","http://dx.doi.org/10.1111/j.1365-294X.2007.03244.x")</f>
        <v>http://dx.doi.org/10.1111/j.1365-294X.2007.03244.x</v>
      </c>
      <c r="BG562" t="s">
        <v>74</v>
      </c>
      <c r="BH562" t="s">
        <v>74</v>
      </c>
      <c r="BI562">
        <v>15</v>
      </c>
      <c r="BJ562" t="s">
        <v>2335</v>
      </c>
      <c r="BK562" t="s">
        <v>98</v>
      </c>
      <c r="BL562" t="s">
        <v>2336</v>
      </c>
      <c r="BM562" t="s">
        <v>9082</v>
      </c>
      <c r="BN562">
        <v>17391271</v>
      </c>
      <c r="BO562" t="s">
        <v>74</v>
      </c>
      <c r="BP562" t="s">
        <v>74</v>
      </c>
      <c r="BQ562" t="s">
        <v>74</v>
      </c>
      <c r="BR562" t="s">
        <v>101</v>
      </c>
      <c r="BS562" t="s">
        <v>9083</v>
      </c>
      <c r="BT562" t="str">
        <f>HYPERLINK("https%3A%2F%2Fwww.webofscience.com%2Fwos%2Fwoscc%2Ffull-record%2FWOS:000245162700014","View Full Record in Web of Science")</f>
        <v>View Full Record in Web of Science</v>
      </c>
    </row>
    <row r="563" spans="1:72" x14ac:dyDescent="0.15">
      <c r="A563" t="s">
        <v>72</v>
      </c>
      <c r="B563" t="s">
        <v>9084</v>
      </c>
      <c r="C563" t="s">
        <v>74</v>
      </c>
      <c r="D563" t="s">
        <v>74</v>
      </c>
      <c r="E563" t="s">
        <v>74</v>
      </c>
      <c r="F563" t="s">
        <v>9085</v>
      </c>
      <c r="G563" t="s">
        <v>74</v>
      </c>
      <c r="H563" t="s">
        <v>74</v>
      </c>
      <c r="I563" t="s">
        <v>9086</v>
      </c>
      <c r="J563" t="s">
        <v>2416</v>
      </c>
      <c r="K563" t="s">
        <v>74</v>
      </c>
      <c r="L563" t="s">
        <v>74</v>
      </c>
      <c r="M563" t="s">
        <v>78</v>
      </c>
      <c r="N563" t="s">
        <v>79</v>
      </c>
      <c r="O563" t="s">
        <v>74</v>
      </c>
      <c r="P563" t="s">
        <v>74</v>
      </c>
      <c r="Q563" t="s">
        <v>74</v>
      </c>
      <c r="R563" t="s">
        <v>74</v>
      </c>
      <c r="S563" t="s">
        <v>74</v>
      </c>
      <c r="T563" t="s">
        <v>74</v>
      </c>
      <c r="U563" t="s">
        <v>9087</v>
      </c>
      <c r="V563" t="s">
        <v>9088</v>
      </c>
      <c r="W563" t="s">
        <v>9089</v>
      </c>
      <c r="X563" t="s">
        <v>9090</v>
      </c>
      <c r="Y563" t="s">
        <v>9091</v>
      </c>
      <c r="Z563" t="s">
        <v>9092</v>
      </c>
      <c r="AA563" t="s">
        <v>74</v>
      </c>
      <c r="AB563" t="s">
        <v>9093</v>
      </c>
      <c r="AC563" t="s">
        <v>74</v>
      </c>
      <c r="AD563" t="s">
        <v>74</v>
      </c>
      <c r="AE563" t="s">
        <v>74</v>
      </c>
      <c r="AF563" t="s">
        <v>74</v>
      </c>
      <c r="AG563">
        <v>72</v>
      </c>
      <c r="AH563">
        <v>42</v>
      </c>
      <c r="AI563">
        <v>56</v>
      </c>
      <c r="AJ563">
        <v>0</v>
      </c>
      <c r="AK563">
        <v>42</v>
      </c>
      <c r="AL563" t="s">
        <v>1202</v>
      </c>
      <c r="AM563" t="s">
        <v>1203</v>
      </c>
      <c r="AN563" t="s">
        <v>1204</v>
      </c>
      <c r="AO563" t="s">
        <v>2425</v>
      </c>
      <c r="AP563" t="s">
        <v>2426</v>
      </c>
      <c r="AQ563" t="s">
        <v>74</v>
      </c>
      <c r="AR563" t="s">
        <v>2416</v>
      </c>
      <c r="AS563" t="s">
        <v>2427</v>
      </c>
      <c r="AT563" t="s">
        <v>8354</v>
      </c>
      <c r="AU563">
        <v>2007</v>
      </c>
      <c r="AV563">
        <v>116</v>
      </c>
      <c r="AW563">
        <v>4</v>
      </c>
      <c r="AX563" t="s">
        <v>74</v>
      </c>
      <c r="AY563" t="s">
        <v>74</v>
      </c>
      <c r="AZ563" t="s">
        <v>74</v>
      </c>
      <c r="BA563" t="s">
        <v>74</v>
      </c>
      <c r="BB563">
        <v>601</v>
      </c>
      <c r="BC563">
        <v>613</v>
      </c>
      <c r="BD563" t="s">
        <v>74</v>
      </c>
      <c r="BE563" t="s">
        <v>9094</v>
      </c>
      <c r="BF563" t="str">
        <f>HYPERLINK("http://dx.doi.org/10.1111/j.2007.0030-1299.15528.x","http://dx.doi.org/10.1111/j.2007.0030-1299.15528.x")</f>
        <v>http://dx.doi.org/10.1111/j.2007.0030-1299.15528.x</v>
      </c>
      <c r="BG563" t="s">
        <v>74</v>
      </c>
      <c r="BH563" t="s">
        <v>74</v>
      </c>
      <c r="BI563">
        <v>13</v>
      </c>
      <c r="BJ563" t="s">
        <v>910</v>
      </c>
      <c r="BK563" t="s">
        <v>98</v>
      </c>
      <c r="BL563" t="s">
        <v>911</v>
      </c>
      <c r="BM563" t="s">
        <v>9095</v>
      </c>
      <c r="BN563" t="s">
        <v>74</v>
      </c>
      <c r="BO563" t="s">
        <v>74</v>
      </c>
      <c r="BP563" t="s">
        <v>74</v>
      </c>
      <c r="BQ563" t="s">
        <v>74</v>
      </c>
      <c r="BR563" t="s">
        <v>101</v>
      </c>
      <c r="BS563" t="s">
        <v>9096</v>
      </c>
      <c r="BT563" t="str">
        <f>HYPERLINK("https%3A%2F%2Fwww.webofscience.com%2Fwos%2Fwoscc%2Ffull-record%2FWOS:000245313500007","View Full Record in Web of Science")</f>
        <v>View Full Record in Web of Science</v>
      </c>
    </row>
    <row r="564" spans="1:72" x14ac:dyDescent="0.15">
      <c r="A564" t="s">
        <v>72</v>
      </c>
      <c r="B564" t="s">
        <v>9097</v>
      </c>
      <c r="C564" t="s">
        <v>74</v>
      </c>
      <c r="D564" t="s">
        <v>74</v>
      </c>
      <c r="E564" t="s">
        <v>74</v>
      </c>
      <c r="F564" t="s">
        <v>9098</v>
      </c>
      <c r="G564" t="s">
        <v>74</v>
      </c>
      <c r="H564" t="s">
        <v>74</v>
      </c>
      <c r="I564" t="s">
        <v>9099</v>
      </c>
      <c r="J564" t="s">
        <v>9100</v>
      </c>
      <c r="K564" t="s">
        <v>74</v>
      </c>
      <c r="L564" t="s">
        <v>74</v>
      </c>
      <c r="M564" t="s">
        <v>78</v>
      </c>
      <c r="N564" t="s">
        <v>79</v>
      </c>
      <c r="O564" t="s">
        <v>74</v>
      </c>
      <c r="P564" t="s">
        <v>74</v>
      </c>
      <c r="Q564" t="s">
        <v>74</v>
      </c>
      <c r="R564" t="s">
        <v>74</v>
      </c>
      <c r="S564" t="s">
        <v>74</v>
      </c>
      <c r="T564" t="s">
        <v>74</v>
      </c>
      <c r="U564" t="s">
        <v>9101</v>
      </c>
      <c r="V564" t="s">
        <v>9102</v>
      </c>
      <c r="W564" t="s">
        <v>9103</v>
      </c>
      <c r="X564" t="s">
        <v>9104</v>
      </c>
      <c r="Y564" t="s">
        <v>9105</v>
      </c>
      <c r="Z564" t="s">
        <v>9106</v>
      </c>
      <c r="AA564" t="s">
        <v>74</v>
      </c>
      <c r="AB564" t="s">
        <v>74</v>
      </c>
      <c r="AC564" t="s">
        <v>74</v>
      </c>
      <c r="AD564" t="s">
        <v>74</v>
      </c>
      <c r="AE564" t="s">
        <v>74</v>
      </c>
      <c r="AF564" t="s">
        <v>74</v>
      </c>
      <c r="AG564">
        <v>72</v>
      </c>
      <c r="AH564">
        <v>32</v>
      </c>
      <c r="AI564">
        <v>33</v>
      </c>
      <c r="AJ564">
        <v>0</v>
      </c>
      <c r="AK564">
        <v>13</v>
      </c>
      <c r="AL564" t="s">
        <v>1677</v>
      </c>
      <c r="AM564" t="s">
        <v>1593</v>
      </c>
      <c r="AN564" t="s">
        <v>1678</v>
      </c>
      <c r="AO564" t="s">
        <v>9107</v>
      </c>
      <c r="AP564" t="s">
        <v>74</v>
      </c>
      <c r="AQ564" t="s">
        <v>74</v>
      </c>
      <c r="AR564" t="s">
        <v>9108</v>
      </c>
      <c r="AS564" t="s">
        <v>9109</v>
      </c>
      <c r="AT564" t="s">
        <v>8354</v>
      </c>
      <c r="AU564">
        <v>2007</v>
      </c>
      <c r="AV564">
        <v>15</v>
      </c>
      <c r="AW564">
        <v>2</v>
      </c>
      <c r="AX564" t="s">
        <v>74</v>
      </c>
      <c r="AY564" t="s">
        <v>74</v>
      </c>
      <c r="AZ564" t="s">
        <v>74</v>
      </c>
      <c r="BA564" t="s">
        <v>74</v>
      </c>
      <c r="BB564">
        <v>109</v>
      </c>
      <c r="BC564">
        <v>125</v>
      </c>
      <c r="BD564" t="s">
        <v>74</v>
      </c>
      <c r="BE564" t="s">
        <v>9110</v>
      </c>
      <c r="BF564" t="str">
        <f>HYPERLINK("http://dx.doi.org/10.1134/S0869591107020014","http://dx.doi.org/10.1134/S0869591107020014")</f>
        <v>http://dx.doi.org/10.1134/S0869591107020014</v>
      </c>
      <c r="BG564" t="s">
        <v>74</v>
      </c>
      <c r="BH564" t="s">
        <v>74</v>
      </c>
      <c r="BI564">
        <v>17</v>
      </c>
      <c r="BJ564" t="s">
        <v>9111</v>
      </c>
      <c r="BK564" t="s">
        <v>98</v>
      </c>
      <c r="BL564" t="s">
        <v>9111</v>
      </c>
      <c r="BM564" t="s">
        <v>9112</v>
      </c>
      <c r="BN564" t="s">
        <v>74</v>
      </c>
      <c r="BO564" t="s">
        <v>74</v>
      </c>
      <c r="BP564" t="s">
        <v>74</v>
      </c>
      <c r="BQ564" t="s">
        <v>74</v>
      </c>
      <c r="BR564" t="s">
        <v>101</v>
      </c>
      <c r="BS564" t="s">
        <v>9113</v>
      </c>
      <c r="BT564" t="str">
        <f>HYPERLINK("https%3A%2F%2Fwww.webofscience.com%2Fwos%2Fwoscc%2Ffull-record%2FWOS:000244954000001","View Full Record in Web of Science")</f>
        <v>View Full Record in Web of Science</v>
      </c>
    </row>
    <row r="565" spans="1:72" x14ac:dyDescent="0.15">
      <c r="A565" t="s">
        <v>72</v>
      </c>
      <c r="B565" t="s">
        <v>9114</v>
      </c>
      <c r="C565" t="s">
        <v>74</v>
      </c>
      <c r="D565" t="s">
        <v>74</v>
      </c>
      <c r="E565" t="s">
        <v>74</v>
      </c>
      <c r="F565" t="s">
        <v>9115</v>
      </c>
      <c r="G565" t="s">
        <v>74</v>
      </c>
      <c r="H565" t="s">
        <v>74</v>
      </c>
      <c r="I565" t="s">
        <v>9116</v>
      </c>
      <c r="J565" t="s">
        <v>9117</v>
      </c>
      <c r="K565" t="s">
        <v>74</v>
      </c>
      <c r="L565" t="s">
        <v>74</v>
      </c>
      <c r="M565" t="s">
        <v>78</v>
      </c>
      <c r="N565" t="s">
        <v>79</v>
      </c>
      <c r="O565" t="s">
        <v>74</v>
      </c>
      <c r="P565" t="s">
        <v>74</v>
      </c>
      <c r="Q565" t="s">
        <v>74</v>
      </c>
      <c r="R565" t="s">
        <v>74</v>
      </c>
      <c r="S565" t="s">
        <v>74</v>
      </c>
      <c r="T565" t="s">
        <v>74</v>
      </c>
      <c r="U565" t="s">
        <v>9118</v>
      </c>
      <c r="V565" t="s">
        <v>9119</v>
      </c>
      <c r="W565" t="s">
        <v>9120</v>
      </c>
      <c r="X565" t="s">
        <v>1051</v>
      </c>
      <c r="Y565" t="s">
        <v>9121</v>
      </c>
      <c r="Z565" t="s">
        <v>9122</v>
      </c>
      <c r="AA565" t="s">
        <v>9123</v>
      </c>
      <c r="AB565" t="s">
        <v>9124</v>
      </c>
      <c r="AC565" t="s">
        <v>74</v>
      </c>
      <c r="AD565" t="s">
        <v>74</v>
      </c>
      <c r="AE565" t="s">
        <v>74</v>
      </c>
      <c r="AF565" t="s">
        <v>74</v>
      </c>
      <c r="AG565">
        <v>19</v>
      </c>
      <c r="AH565">
        <v>16</v>
      </c>
      <c r="AI565">
        <v>19</v>
      </c>
      <c r="AJ565">
        <v>0</v>
      </c>
      <c r="AK565">
        <v>9</v>
      </c>
      <c r="AL565" t="s">
        <v>9125</v>
      </c>
      <c r="AM565" t="s">
        <v>9126</v>
      </c>
      <c r="AN565" t="s">
        <v>9127</v>
      </c>
      <c r="AO565" t="s">
        <v>9128</v>
      </c>
      <c r="AP565" t="s">
        <v>9129</v>
      </c>
      <c r="AQ565" t="s">
        <v>74</v>
      </c>
      <c r="AR565" t="s">
        <v>9130</v>
      </c>
      <c r="AS565" t="s">
        <v>9131</v>
      </c>
      <c r="AT565" t="s">
        <v>8354</v>
      </c>
      <c r="AU565">
        <v>2007</v>
      </c>
      <c r="AV565">
        <v>75</v>
      </c>
      <c r="AW565">
        <v>4</v>
      </c>
      <c r="AX565">
        <v>1</v>
      </c>
      <c r="AY565" t="s">
        <v>74</v>
      </c>
      <c r="AZ565" t="s">
        <v>74</v>
      </c>
      <c r="BA565" t="s">
        <v>74</v>
      </c>
      <c r="BB565" t="s">
        <v>74</v>
      </c>
      <c r="BC565" t="s">
        <v>74</v>
      </c>
      <c r="BD565">
        <v>41201</v>
      </c>
      <c r="BE565" t="s">
        <v>9132</v>
      </c>
      <c r="BF565" t="str">
        <f>HYPERLINK("http://dx.doi.org/10.1103/PhysRevE.75.041201","http://dx.doi.org/10.1103/PhysRevE.75.041201")</f>
        <v>http://dx.doi.org/10.1103/PhysRevE.75.041201</v>
      </c>
      <c r="BG565" t="s">
        <v>74</v>
      </c>
      <c r="BH565" t="s">
        <v>74</v>
      </c>
      <c r="BI565">
        <v>5</v>
      </c>
      <c r="BJ565" t="s">
        <v>9133</v>
      </c>
      <c r="BK565" t="s">
        <v>98</v>
      </c>
      <c r="BL565" t="s">
        <v>4084</v>
      </c>
      <c r="BM565" t="s">
        <v>9134</v>
      </c>
      <c r="BN565">
        <v>17500884</v>
      </c>
      <c r="BO565" t="s">
        <v>74</v>
      </c>
      <c r="BP565" t="s">
        <v>74</v>
      </c>
      <c r="BQ565" t="s">
        <v>74</v>
      </c>
      <c r="BR565" t="s">
        <v>101</v>
      </c>
      <c r="BS565" t="s">
        <v>9135</v>
      </c>
      <c r="BT565" t="str">
        <f>HYPERLINK("https%3A%2F%2Fwww.webofscience.com%2Fwos%2Fwoscc%2Ffull-record%2FWOS:000246073900042","View Full Record in Web of Science")</f>
        <v>View Full Record in Web of Science</v>
      </c>
    </row>
    <row r="566" spans="1:72" x14ac:dyDescent="0.15">
      <c r="A566" t="s">
        <v>72</v>
      </c>
      <c r="B566" t="s">
        <v>9136</v>
      </c>
      <c r="C566" t="s">
        <v>74</v>
      </c>
      <c r="D566" t="s">
        <v>74</v>
      </c>
      <c r="E566" t="s">
        <v>74</v>
      </c>
      <c r="F566" t="s">
        <v>9137</v>
      </c>
      <c r="G566" t="s">
        <v>74</v>
      </c>
      <c r="H566" t="s">
        <v>74</v>
      </c>
      <c r="I566" t="s">
        <v>9138</v>
      </c>
      <c r="J566" t="s">
        <v>2434</v>
      </c>
      <c r="K566" t="s">
        <v>74</v>
      </c>
      <c r="L566" t="s">
        <v>74</v>
      </c>
      <c r="M566" t="s">
        <v>78</v>
      </c>
      <c r="N566" t="s">
        <v>248</v>
      </c>
      <c r="O566" t="s">
        <v>74</v>
      </c>
      <c r="P566" t="s">
        <v>74</v>
      </c>
      <c r="Q566" t="s">
        <v>74</v>
      </c>
      <c r="R566" t="s">
        <v>74</v>
      </c>
      <c r="S566" t="s">
        <v>74</v>
      </c>
      <c r="T566" t="s">
        <v>74</v>
      </c>
      <c r="U566" t="s">
        <v>9139</v>
      </c>
      <c r="V566" t="s">
        <v>9140</v>
      </c>
      <c r="W566" t="s">
        <v>9141</v>
      </c>
      <c r="X566" t="s">
        <v>9142</v>
      </c>
      <c r="Y566" t="s">
        <v>9143</v>
      </c>
      <c r="Z566" t="s">
        <v>9144</v>
      </c>
      <c r="AA566" t="s">
        <v>74</v>
      </c>
      <c r="AB566" t="s">
        <v>9145</v>
      </c>
      <c r="AC566" t="s">
        <v>74</v>
      </c>
      <c r="AD566" t="s">
        <v>74</v>
      </c>
      <c r="AE566" t="s">
        <v>74</v>
      </c>
      <c r="AF566" t="s">
        <v>74</v>
      </c>
      <c r="AG566">
        <v>83</v>
      </c>
      <c r="AH566">
        <v>11</v>
      </c>
      <c r="AI566">
        <v>14</v>
      </c>
      <c r="AJ566">
        <v>0</v>
      </c>
      <c r="AK566">
        <v>18</v>
      </c>
      <c r="AL566" t="s">
        <v>1592</v>
      </c>
      <c r="AM566" t="s">
        <v>1593</v>
      </c>
      <c r="AN566" t="s">
        <v>2406</v>
      </c>
      <c r="AO566" t="s">
        <v>2442</v>
      </c>
      <c r="AP566" t="s">
        <v>2443</v>
      </c>
      <c r="AQ566" t="s">
        <v>74</v>
      </c>
      <c r="AR566" t="s">
        <v>2444</v>
      </c>
      <c r="AS566" t="s">
        <v>2445</v>
      </c>
      <c r="AT566" t="s">
        <v>8354</v>
      </c>
      <c r="AU566">
        <v>2007</v>
      </c>
      <c r="AV566">
        <v>30</v>
      </c>
      <c r="AW566">
        <v>5</v>
      </c>
      <c r="AX566" t="s">
        <v>74</v>
      </c>
      <c r="AY566" t="s">
        <v>74</v>
      </c>
      <c r="AZ566" t="s">
        <v>74</v>
      </c>
      <c r="BA566" t="s">
        <v>74</v>
      </c>
      <c r="BB566">
        <v>523</v>
      </c>
      <c r="BC566">
        <v>539</v>
      </c>
      <c r="BD566" t="s">
        <v>74</v>
      </c>
      <c r="BE566" t="s">
        <v>9146</v>
      </c>
      <c r="BF566" t="str">
        <f>HYPERLINK("http://dx.doi.org/10.1007/s00300-006-0217-3","http://dx.doi.org/10.1007/s00300-006-0217-3")</f>
        <v>http://dx.doi.org/10.1007/s00300-006-0217-3</v>
      </c>
      <c r="BG566" t="s">
        <v>74</v>
      </c>
      <c r="BH566" t="s">
        <v>74</v>
      </c>
      <c r="BI566">
        <v>17</v>
      </c>
      <c r="BJ566" t="s">
        <v>97</v>
      </c>
      <c r="BK566" t="s">
        <v>98</v>
      </c>
      <c r="BL566" t="s">
        <v>99</v>
      </c>
      <c r="BM566" t="s">
        <v>9147</v>
      </c>
      <c r="BN566" t="s">
        <v>74</v>
      </c>
      <c r="BO566" t="s">
        <v>74</v>
      </c>
      <c r="BP566" t="s">
        <v>74</v>
      </c>
      <c r="BQ566" t="s">
        <v>74</v>
      </c>
      <c r="BR566" t="s">
        <v>101</v>
      </c>
      <c r="BS566" t="s">
        <v>9148</v>
      </c>
      <c r="BT566" t="str">
        <f>HYPERLINK("https%3A%2F%2Fwww.webofscience.com%2Fwos%2Fwoscc%2Ffull-record%2FWOS:000244753300001","View Full Record in Web of Science")</f>
        <v>View Full Record in Web of Science</v>
      </c>
    </row>
    <row r="567" spans="1:72" x14ac:dyDescent="0.15">
      <c r="A567" t="s">
        <v>72</v>
      </c>
      <c r="B567" t="s">
        <v>9149</v>
      </c>
      <c r="C567" t="s">
        <v>74</v>
      </c>
      <c r="D567" t="s">
        <v>74</v>
      </c>
      <c r="E567" t="s">
        <v>74</v>
      </c>
      <c r="F567" t="s">
        <v>9150</v>
      </c>
      <c r="G567" t="s">
        <v>74</v>
      </c>
      <c r="H567" t="s">
        <v>74</v>
      </c>
      <c r="I567" t="s">
        <v>9151</v>
      </c>
      <c r="J567" t="s">
        <v>2434</v>
      </c>
      <c r="K567" t="s">
        <v>74</v>
      </c>
      <c r="L567" t="s">
        <v>74</v>
      </c>
      <c r="M567" t="s">
        <v>78</v>
      </c>
      <c r="N567" t="s">
        <v>79</v>
      </c>
      <c r="O567" t="s">
        <v>74</v>
      </c>
      <c r="P567" t="s">
        <v>74</v>
      </c>
      <c r="Q567" t="s">
        <v>74</v>
      </c>
      <c r="R567" t="s">
        <v>74</v>
      </c>
      <c r="S567" t="s">
        <v>74</v>
      </c>
      <c r="T567" t="s">
        <v>9152</v>
      </c>
      <c r="U567" t="s">
        <v>9153</v>
      </c>
      <c r="V567" t="s">
        <v>9154</v>
      </c>
      <c r="W567" t="s">
        <v>9155</v>
      </c>
      <c r="X567" t="s">
        <v>3744</v>
      </c>
      <c r="Y567" t="s">
        <v>9156</v>
      </c>
      <c r="Z567" t="s">
        <v>9157</v>
      </c>
      <c r="AA567" t="s">
        <v>9158</v>
      </c>
      <c r="AB567" t="s">
        <v>9159</v>
      </c>
      <c r="AC567" t="s">
        <v>74</v>
      </c>
      <c r="AD567" t="s">
        <v>74</v>
      </c>
      <c r="AE567" t="s">
        <v>74</v>
      </c>
      <c r="AF567" t="s">
        <v>74</v>
      </c>
      <c r="AG567">
        <v>31</v>
      </c>
      <c r="AH567">
        <v>13</v>
      </c>
      <c r="AI567">
        <v>15</v>
      </c>
      <c r="AJ567">
        <v>0</v>
      </c>
      <c r="AK567">
        <v>19</v>
      </c>
      <c r="AL567" t="s">
        <v>1592</v>
      </c>
      <c r="AM567" t="s">
        <v>1593</v>
      </c>
      <c r="AN567" t="s">
        <v>2512</v>
      </c>
      <c r="AO567" t="s">
        <v>2442</v>
      </c>
      <c r="AP567" t="s">
        <v>74</v>
      </c>
      <c r="AQ567" t="s">
        <v>74</v>
      </c>
      <c r="AR567" t="s">
        <v>2444</v>
      </c>
      <c r="AS567" t="s">
        <v>2445</v>
      </c>
      <c r="AT567" t="s">
        <v>8354</v>
      </c>
      <c r="AU567">
        <v>2007</v>
      </c>
      <c r="AV567">
        <v>30</v>
      </c>
      <c r="AW567">
        <v>5</v>
      </c>
      <c r="AX567" t="s">
        <v>74</v>
      </c>
      <c r="AY567" t="s">
        <v>74</v>
      </c>
      <c r="AZ567" t="s">
        <v>74</v>
      </c>
      <c r="BA567" t="s">
        <v>74</v>
      </c>
      <c r="BB567">
        <v>571</v>
      </c>
      <c r="BC567">
        <v>580</v>
      </c>
      <c r="BD567" t="s">
        <v>74</v>
      </c>
      <c r="BE567" t="s">
        <v>9160</v>
      </c>
      <c r="BF567" t="str">
        <f>HYPERLINK("http://dx.doi.org/10.1007/s00300-006-0214-6","http://dx.doi.org/10.1007/s00300-006-0214-6")</f>
        <v>http://dx.doi.org/10.1007/s00300-006-0214-6</v>
      </c>
      <c r="BG567" t="s">
        <v>74</v>
      </c>
      <c r="BH567" t="s">
        <v>74</v>
      </c>
      <c r="BI567">
        <v>10</v>
      </c>
      <c r="BJ567" t="s">
        <v>97</v>
      </c>
      <c r="BK567" t="s">
        <v>98</v>
      </c>
      <c r="BL567" t="s">
        <v>99</v>
      </c>
      <c r="BM567" t="s">
        <v>9147</v>
      </c>
      <c r="BN567" t="s">
        <v>74</v>
      </c>
      <c r="BO567" t="s">
        <v>74</v>
      </c>
      <c r="BP567" t="s">
        <v>74</v>
      </c>
      <c r="BQ567" t="s">
        <v>74</v>
      </c>
      <c r="BR567" t="s">
        <v>101</v>
      </c>
      <c r="BS567" t="s">
        <v>9161</v>
      </c>
      <c r="BT567" t="str">
        <f>HYPERLINK("https%3A%2F%2Fwww.webofscience.com%2Fwos%2Fwoscc%2Ffull-record%2FWOS:000244753300005","View Full Record in Web of Science")</f>
        <v>View Full Record in Web of Science</v>
      </c>
    </row>
    <row r="568" spans="1:72" x14ac:dyDescent="0.15">
      <c r="A568" t="s">
        <v>72</v>
      </c>
      <c r="B568" t="s">
        <v>9162</v>
      </c>
      <c r="C568" t="s">
        <v>74</v>
      </c>
      <c r="D568" t="s">
        <v>74</v>
      </c>
      <c r="E568" t="s">
        <v>74</v>
      </c>
      <c r="F568" t="s">
        <v>9163</v>
      </c>
      <c r="G568" t="s">
        <v>74</v>
      </c>
      <c r="H568" t="s">
        <v>74</v>
      </c>
      <c r="I568" t="s">
        <v>9164</v>
      </c>
      <c r="J568" t="s">
        <v>2434</v>
      </c>
      <c r="K568" t="s">
        <v>74</v>
      </c>
      <c r="L568" t="s">
        <v>74</v>
      </c>
      <c r="M568" t="s">
        <v>78</v>
      </c>
      <c r="N568" t="s">
        <v>79</v>
      </c>
      <c r="O568" t="s">
        <v>74</v>
      </c>
      <c r="P568" t="s">
        <v>74</v>
      </c>
      <c r="Q568" t="s">
        <v>74</v>
      </c>
      <c r="R568" t="s">
        <v>74</v>
      </c>
      <c r="S568" t="s">
        <v>74</v>
      </c>
      <c r="T568" t="s">
        <v>9165</v>
      </c>
      <c r="U568" t="s">
        <v>9166</v>
      </c>
      <c r="V568" t="s">
        <v>9167</v>
      </c>
      <c r="W568" t="s">
        <v>9168</v>
      </c>
      <c r="X568" t="s">
        <v>9169</v>
      </c>
      <c r="Y568" t="s">
        <v>9170</v>
      </c>
      <c r="Z568" t="s">
        <v>9171</v>
      </c>
      <c r="AA568" t="s">
        <v>74</v>
      </c>
      <c r="AB568" t="s">
        <v>9172</v>
      </c>
      <c r="AC568" t="s">
        <v>74</v>
      </c>
      <c r="AD568" t="s">
        <v>74</v>
      </c>
      <c r="AE568" t="s">
        <v>74</v>
      </c>
      <c r="AF568" t="s">
        <v>74</v>
      </c>
      <c r="AG568">
        <v>74</v>
      </c>
      <c r="AH568">
        <v>26</v>
      </c>
      <c r="AI568">
        <v>29</v>
      </c>
      <c r="AJ568">
        <v>0</v>
      </c>
      <c r="AK568">
        <v>17</v>
      </c>
      <c r="AL568" t="s">
        <v>1592</v>
      </c>
      <c r="AM568" t="s">
        <v>1593</v>
      </c>
      <c r="AN568" t="s">
        <v>1594</v>
      </c>
      <c r="AO568" t="s">
        <v>2442</v>
      </c>
      <c r="AP568" t="s">
        <v>2443</v>
      </c>
      <c r="AQ568" t="s">
        <v>74</v>
      </c>
      <c r="AR568" t="s">
        <v>2444</v>
      </c>
      <c r="AS568" t="s">
        <v>2445</v>
      </c>
      <c r="AT568" t="s">
        <v>8354</v>
      </c>
      <c r="AU568">
        <v>2007</v>
      </c>
      <c r="AV568">
        <v>30</v>
      </c>
      <c r="AW568">
        <v>5</v>
      </c>
      <c r="AX568" t="s">
        <v>74</v>
      </c>
      <c r="AY568" t="s">
        <v>74</v>
      </c>
      <c r="AZ568" t="s">
        <v>74</v>
      </c>
      <c r="BA568" t="s">
        <v>74</v>
      </c>
      <c r="BB568">
        <v>587</v>
      </c>
      <c r="BC568">
        <v>600</v>
      </c>
      <c r="BD568" t="s">
        <v>74</v>
      </c>
      <c r="BE568" t="s">
        <v>9173</v>
      </c>
      <c r="BF568" t="str">
        <f>HYPERLINK("http://dx.doi.org/10.1007/s00300-006-0216-4","http://dx.doi.org/10.1007/s00300-006-0216-4")</f>
        <v>http://dx.doi.org/10.1007/s00300-006-0216-4</v>
      </c>
      <c r="BG568" t="s">
        <v>74</v>
      </c>
      <c r="BH568" t="s">
        <v>74</v>
      </c>
      <c r="BI568">
        <v>14</v>
      </c>
      <c r="BJ568" t="s">
        <v>97</v>
      </c>
      <c r="BK568" t="s">
        <v>98</v>
      </c>
      <c r="BL568" t="s">
        <v>99</v>
      </c>
      <c r="BM568" t="s">
        <v>9147</v>
      </c>
      <c r="BN568" t="s">
        <v>74</v>
      </c>
      <c r="BO568" t="s">
        <v>74</v>
      </c>
      <c r="BP568" t="s">
        <v>74</v>
      </c>
      <c r="BQ568" t="s">
        <v>74</v>
      </c>
      <c r="BR568" t="s">
        <v>101</v>
      </c>
      <c r="BS568" t="s">
        <v>9174</v>
      </c>
      <c r="BT568" t="str">
        <f>HYPERLINK("https%3A%2F%2Fwww.webofscience.com%2Fwos%2Fwoscc%2Ffull-record%2FWOS:000244753300007","View Full Record in Web of Science")</f>
        <v>View Full Record in Web of Science</v>
      </c>
    </row>
    <row r="569" spans="1:72" x14ac:dyDescent="0.15">
      <c r="A569" t="s">
        <v>72</v>
      </c>
      <c r="B569" t="s">
        <v>9175</v>
      </c>
      <c r="C569" t="s">
        <v>74</v>
      </c>
      <c r="D569" t="s">
        <v>74</v>
      </c>
      <c r="E569" t="s">
        <v>74</v>
      </c>
      <c r="F569" t="s">
        <v>9176</v>
      </c>
      <c r="G569" t="s">
        <v>74</v>
      </c>
      <c r="H569" t="s">
        <v>74</v>
      </c>
      <c r="I569" t="s">
        <v>9177</v>
      </c>
      <c r="J569" t="s">
        <v>2434</v>
      </c>
      <c r="K569" t="s">
        <v>74</v>
      </c>
      <c r="L569" t="s">
        <v>74</v>
      </c>
      <c r="M569" t="s">
        <v>78</v>
      </c>
      <c r="N569" t="s">
        <v>79</v>
      </c>
      <c r="O569" t="s">
        <v>74</v>
      </c>
      <c r="P569" t="s">
        <v>74</v>
      </c>
      <c r="Q569" t="s">
        <v>74</v>
      </c>
      <c r="R569" t="s">
        <v>74</v>
      </c>
      <c r="S569" t="s">
        <v>74</v>
      </c>
      <c r="T569" t="s">
        <v>9178</v>
      </c>
      <c r="U569" t="s">
        <v>9179</v>
      </c>
      <c r="V569" t="s">
        <v>9180</v>
      </c>
      <c r="W569" t="s">
        <v>9181</v>
      </c>
      <c r="X569" t="s">
        <v>9182</v>
      </c>
      <c r="Y569" t="s">
        <v>9183</v>
      </c>
      <c r="Z569" t="s">
        <v>7432</v>
      </c>
      <c r="AA569" t="s">
        <v>9184</v>
      </c>
      <c r="AB569" t="s">
        <v>7434</v>
      </c>
      <c r="AC569" t="s">
        <v>74</v>
      </c>
      <c r="AD569" t="s">
        <v>74</v>
      </c>
      <c r="AE569" t="s">
        <v>74</v>
      </c>
      <c r="AF569" t="s">
        <v>74</v>
      </c>
      <c r="AG569">
        <v>59</v>
      </c>
      <c r="AH569">
        <v>29</v>
      </c>
      <c r="AI569">
        <v>30</v>
      </c>
      <c r="AJ569">
        <v>0</v>
      </c>
      <c r="AK569">
        <v>9</v>
      </c>
      <c r="AL569" t="s">
        <v>1592</v>
      </c>
      <c r="AM569" t="s">
        <v>1593</v>
      </c>
      <c r="AN569" t="s">
        <v>1594</v>
      </c>
      <c r="AO569" t="s">
        <v>2442</v>
      </c>
      <c r="AP569" t="s">
        <v>2443</v>
      </c>
      <c r="AQ569" t="s">
        <v>74</v>
      </c>
      <c r="AR569" t="s">
        <v>2444</v>
      </c>
      <c r="AS569" t="s">
        <v>2445</v>
      </c>
      <c r="AT569" t="s">
        <v>8354</v>
      </c>
      <c r="AU569">
        <v>2007</v>
      </c>
      <c r="AV569">
        <v>30</v>
      </c>
      <c r="AW569">
        <v>5</v>
      </c>
      <c r="AX569" t="s">
        <v>74</v>
      </c>
      <c r="AY569" t="s">
        <v>74</v>
      </c>
      <c r="AZ569" t="s">
        <v>74</v>
      </c>
      <c r="BA569" t="s">
        <v>74</v>
      </c>
      <c r="BB569">
        <v>625</v>
      </c>
      <c r="BC569">
        <v>634</v>
      </c>
      <c r="BD569" t="s">
        <v>74</v>
      </c>
      <c r="BE569" t="s">
        <v>9185</v>
      </c>
      <c r="BF569" t="str">
        <f>HYPERLINK("http://dx.doi.org/10.1007/s00300-006-0222-6","http://dx.doi.org/10.1007/s00300-006-0222-6")</f>
        <v>http://dx.doi.org/10.1007/s00300-006-0222-6</v>
      </c>
      <c r="BG569" t="s">
        <v>74</v>
      </c>
      <c r="BH569" t="s">
        <v>74</v>
      </c>
      <c r="BI569">
        <v>10</v>
      </c>
      <c r="BJ569" t="s">
        <v>97</v>
      </c>
      <c r="BK569" t="s">
        <v>98</v>
      </c>
      <c r="BL569" t="s">
        <v>99</v>
      </c>
      <c r="BM569" t="s">
        <v>9147</v>
      </c>
      <c r="BN569" t="s">
        <v>74</v>
      </c>
      <c r="BO569" t="s">
        <v>74</v>
      </c>
      <c r="BP569" t="s">
        <v>74</v>
      </c>
      <c r="BQ569" t="s">
        <v>74</v>
      </c>
      <c r="BR569" t="s">
        <v>101</v>
      </c>
      <c r="BS569" t="s">
        <v>9186</v>
      </c>
      <c r="BT569" t="str">
        <f>HYPERLINK("https%3A%2F%2Fwww.webofscience.com%2Fwos%2Fwoscc%2Ffull-record%2FWOS:000244753300011","View Full Record in Web of Science")</f>
        <v>View Full Record in Web of Science</v>
      </c>
    </row>
    <row r="570" spans="1:72" x14ac:dyDescent="0.15">
      <c r="A570" t="s">
        <v>72</v>
      </c>
      <c r="B570" t="s">
        <v>9187</v>
      </c>
      <c r="C570" t="s">
        <v>74</v>
      </c>
      <c r="D570" t="s">
        <v>74</v>
      </c>
      <c r="E570" t="s">
        <v>74</v>
      </c>
      <c r="F570" t="s">
        <v>9188</v>
      </c>
      <c r="G570" t="s">
        <v>74</v>
      </c>
      <c r="H570" t="s">
        <v>74</v>
      </c>
      <c r="I570" t="s">
        <v>9189</v>
      </c>
      <c r="J570" t="s">
        <v>2434</v>
      </c>
      <c r="K570" t="s">
        <v>74</v>
      </c>
      <c r="L570" t="s">
        <v>74</v>
      </c>
      <c r="M570" t="s">
        <v>78</v>
      </c>
      <c r="N570" t="s">
        <v>79</v>
      </c>
      <c r="O570" t="s">
        <v>74</v>
      </c>
      <c r="P570" t="s">
        <v>74</v>
      </c>
      <c r="Q570" t="s">
        <v>74</v>
      </c>
      <c r="R570" t="s">
        <v>74</v>
      </c>
      <c r="S570" t="s">
        <v>74</v>
      </c>
      <c r="T570" t="s">
        <v>9190</v>
      </c>
      <c r="U570" t="s">
        <v>9191</v>
      </c>
      <c r="V570" t="s">
        <v>9192</v>
      </c>
      <c r="W570" t="s">
        <v>9193</v>
      </c>
      <c r="X570" t="s">
        <v>9194</v>
      </c>
      <c r="Y570" t="s">
        <v>9195</v>
      </c>
      <c r="Z570" t="s">
        <v>9196</v>
      </c>
      <c r="AA570" t="s">
        <v>9197</v>
      </c>
      <c r="AB570" t="s">
        <v>9198</v>
      </c>
      <c r="AC570" t="s">
        <v>74</v>
      </c>
      <c r="AD570" t="s">
        <v>74</v>
      </c>
      <c r="AE570" t="s">
        <v>74</v>
      </c>
      <c r="AF570" t="s">
        <v>74</v>
      </c>
      <c r="AG570">
        <v>19</v>
      </c>
      <c r="AH570">
        <v>33</v>
      </c>
      <c r="AI570">
        <v>39</v>
      </c>
      <c r="AJ570">
        <v>2</v>
      </c>
      <c r="AK570">
        <v>17</v>
      </c>
      <c r="AL570" t="s">
        <v>1592</v>
      </c>
      <c r="AM570" t="s">
        <v>1593</v>
      </c>
      <c r="AN570" t="s">
        <v>2512</v>
      </c>
      <c r="AO570" t="s">
        <v>2442</v>
      </c>
      <c r="AP570" t="s">
        <v>74</v>
      </c>
      <c r="AQ570" t="s">
        <v>74</v>
      </c>
      <c r="AR570" t="s">
        <v>2444</v>
      </c>
      <c r="AS570" t="s">
        <v>2445</v>
      </c>
      <c r="AT570" t="s">
        <v>8354</v>
      </c>
      <c r="AU570">
        <v>2007</v>
      </c>
      <c r="AV570">
        <v>30</v>
      </c>
      <c r="AW570">
        <v>5</v>
      </c>
      <c r="AX570" t="s">
        <v>74</v>
      </c>
      <c r="AY570" t="s">
        <v>74</v>
      </c>
      <c r="AZ570" t="s">
        <v>74</v>
      </c>
      <c r="BA570" t="s">
        <v>74</v>
      </c>
      <c r="BB570">
        <v>659</v>
      </c>
      <c r="BC570">
        <v>661</v>
      </c>
      <c r="BD570" t="s">
        <v>74</v>
      </c>
      <c r="BE570" t="s">
        <v>9199</v>
      </c>
      <c r="BF570" t="str">
        <f>HYPERLINK("http://dx.doi.org/10.1007/s00300-007-0259-1","http://dx.doi.org/10.1007/s00300-007-0259-1")</f>
        <v>http://dx.doi.org/10.1007/s00300-007-0259-1</v>
      </c>
      <c r="BG570" t="s">
        <v>74</v>
      </c>
      <c r="BH570" t="s">
        <v>74</v>
      </c>
      <c r="BI570">
        <v>3</v>
      </c>
      <c r="BJ570" t="s">
        <v>97</v>
      </c>
      <c r="BK570" t="s">
        <v>98</v>
      </c>
      <c r="BL570" t="s">
        <v>99</v>
      </c>
      <c r="BM570" t="s">
        <v>9147</v>
      </c>
      <c r="BN570" t="s">
        <v>74</v>
      </c>
      <c r="BO570" t="s">
        <v>74</v>
      </c>
      <c r="BP570" t="s">
        <v>74</v>
      </c>
      <c r="BQ570" t="s">
        <v>74</v>
      </c>
      <c r="BR570" t="s">
        <v>101</v>
      </c>
      <c r="BS570" t="s">
        <v>9200</v>
      </c>
      <c r="BT570" t="str">
        <f>HYPERLINK("https%3A%2F%2Fwww.webofscience.com%2Fwos%2Fwoscc%2Ffull-record%2FWOS:000244753300015","View Full Record in Web of Science")</f>
        <v>View Full Record in Web of Science</v>
      </c>
    </row>
    <row r="571" spans="1:72" x14ac:dyDescent="0.15">
      <c r="A571" t="s">
        <v>72</v>
      </c>
      <c r="B571" t="s">
        <v>9201</v>
      </c>
      <c r="C571" t="s">
        <v>74</v>
      </c>
      <c r="D571" t="s">
        <v>74</v>
      </c>
      <c r="E571" t="s">
        <v>74</v>
      </c>
      <c r="F571" t="s">
        <v>9202</v>
      </c>
      <c r="G571" t="s">
        <v>74</v>
      </c>
      <c r="H571" t="s">
        <v>74</v>
      </c>
      <c r="I571" t="s">
        <v>9203</v>
      </c>
      <c r="J571" t="s">
        <v>4211</v>
      </c>
      <c r="K571" t="s">
        <v>74</v>
      </c>
      <c r="L571" t="s">
        <v>74</v>
      </c>
      <c r="M571" t="s">
        <v>78</v>
      </c>
      <c r="N571" t="s">
        <v>79</v>
      </c>
      <c r="O571" t="s">
        <v>74</v>
      </c>
      <c r="P571" t="s">
        <v>74</v>
      </c>
      <c r="Q571" t="s">
        <v>74</v>
      </c>
      <c r="R571" t="s">
        <v>74</v>
      </c>
      <c r="S571" t="s">
        <v>74</v>
      </c>
      <c r="T571" t="s">
        <v>74</v>
      </c>
      <c r="U571" t="s">
        <v>74</v>
      </c>
      <c r="V571" t="s">
        <v>9204</v>
      </c>
      <c r="W571" t="s">
        <v>9205</v>
      </c>
      <c r="X571" t="s">
        <v>9206</v>
      </c>
      <c r="Y571" t="s">
        <v>9207</v>
      </c>
      <c r="Z571" t="s">
        <v>74</v>
      </c>
      <c r="AA571" t="s">
        <v>74</v>
      </c>
      <c r="AB571" t="s">
        <v>74</v>
      </c>
      <c r="AC571" t="s">
        <v>74</v>
      </c>
      <c r="AD571" t="s">
        <v>74</v>
      </c>
      <c r="AE571" t="s">
        <v>74</v>
      </c>
      <c r="AF571" t="s">
        <v>74</v>
      </c>
      <c r="AG571">
        <v>86</v>
      </c>
      <c r="AH571">
        <v>0</v>
      </c>
      <c r="AI571">
        <v>0</v>
      </c>
      <c r="AJ571">
        <v>1</v>
      </c>
      <c r="AK571">
        <v>10</v>
      </c>
      <c r="AL571" t="s">
        <v>4219</v>
      </c>
      <c r="AM571" t="s">
        <v>1593</v>
      </c>
      <c r="AN571" t="s">
        <v>4220</v>
      </c>
      <c r="AO571" t="s">
        <v>4221</v>
      </c>
      <c r="AP571" t="s">
        <v>9208</v>
      </c>
      <c r="AQ571" t="s">
        <v>74</v>
      </c>
      <c r="AR571" t="s">
        <v>4222</v>
      </c>
      <c r="AS571" t="s">
        <v>4223</v>
      </c>
      <c r="AT571" t="s">
        <v>8354</v>
      </c>
      <c r="AU571">
        <v>2007</v>
      </c>
      <c r="AV571">
        <v>43</v>
      </c>
      <c r="AW571">
        <v>225</v>
      </c>
      <c r="AX571" t="s">
        <v>74</v>
      </c>
      <c r="AY571" t="s">
        <v>74</v>
      </c>
      <c r="AZ571" t="s">
        <v>74</v>
      </c>
      <c r="BA571" t="s">
        <v>74</v>
      </c>
      <c r="BB571">
        <v>97</v>
      </c>
      <c r="BC571">
        <v>123</v>
      </c>
      <c r="BD571" t="s">
        <v>74</v>
      </c>
      <c r="BE571" t="s">
        <v>9209</v>
      </c>
      <c r="BF571" t="str">
        <f>HYPERLINK("http://dx.doi.org/10.1017/S0032247407006080","http://dx.doi.org/10.1017/S0032247407006080")</f>
        <v>http://dx.doi.org/10.1017/S0032247407006080</v>
      </c>
      <c r="BG571" t="s">
        <v>74</v>
      </c>
      <c r="BH571" t="s">
        <v>74</v>
      </c>
      <c r="BI571">
        <v>27</v>
      </c>
      <c r="BJ571" t="s">
        <v>1743</v>
      </c>
      <c r="BK571" t="s">
        <v>98</v>
      </c>
      <c r="BL571" t="s">
        <v>911</v>
      </c>
      <c r="BM571" t="s">
        <v>9210</v>
      </c>
      <c r="BN571" t="s">
        <v>74</v>
      </c>
      <c r="BO571" t="s">
        <v>74</v>
      </c>
      <c r="BP571" t="s">
        <v>74</v>
      </c>
      <c r="BQ571" t="s">
        <v>74</v>
      </c>
      <c r="BR571" t="s">
        <v>101</v>
      </c>
      <c r="BS571" t="s">
        <v>9211</v>
      </c>
      <c r="BT571" t="str">
        <f>HYPERLINK("https%3A%2F%2Fwww.webofscience.com%2Fwos%2Fwoscc%2Ffull-record%2FWOS:000246285100001","View Full Record in Web of Science")</f>
        <v>View Full Record in Web of Science</v>
      </c>
    </row>
    <row r="572" spans="1:72" x14ac:dyDescent="0.15">
      <c r="A572" t="s">
        <v>72</v>
      </c>
      <c r="B572" t="s">
        <v>9212</v>
      </c>
      <c r="C572" t="s">
        <v>74</v>
      </c>
      <c r="D572" t="s">
        <v>74</v>
      </c>
      <c r="E572" t="s">
        <v>74</v>
      </c>
      <c r="F572" t="s">
        <v>9213</v>
      </c>
      <c r="G572" t="s">
        <v>74</v>
      </c>
      <c r="H572" t="s">
        <v>74</v>
      </c>
      <c r="I572" t="s">
        <v>9214</v>
      </c>
      <c r="J572" t="s">
        <v>4211</v>
      </c>
      <c r="K572" t="s">
        <v>74</v>
      </c>
      <c r="L572" t="s">
        <v>74</v>
      </c>
      <c r="M572" t="s">
        <v>78</v>
      </c>
      <c r="N572" t="s">
        <v>79</v>
      </c>
      <c r="O572" t="s">
        <v>74</v>
      </c>
      <c r="P572" t="s">
        <v>74</v>
      </c>
      <c r="Q572" t="s">
        <v>74</v>
      </c>
      <c r="R572" t="s">
        <v>74</v>
      </c>
      <c r="S572" t="s">
        <v>74</v>
      </c>
      <c r="T572" t="s">
        <v>74</v>
      </c>
      <c r="U572" t="s">
        <v>74</v>
      </c>
      <c r="V572" t="s">
        <v>9215</v>
      </c>
      <c r="W572" t="s">
        <v>9216</v>
      </c>
      <c r="X572" t="s">
        <v>74</v>
      </c>
      <c r="Y572" t="s">
        <v>9217</v>
      </c>
      <c r="Z572" t="s">
        <v>74</v>
      </c>
      <c r="AA572" t="s">
        <v>74</v>
      </c>
      <c r="AB572" t="s">
        <v>74</v>
      </c>
      <c r="AC572" t="s">
        <v>74</v>
      </c>
      <c r="AD572" t="s">
        <v>74</v>
      </c>
      <c r="AE572" t="s">
        <v>74</v>
      </c>
      <c r="AF572" t="s">
        <v>74</v>
      </c>
      <c r="AG572">
        <v>45</v>
      </c>
      <c r="AH572">
        <v>2</v>
      </c>
      <c r="AI572">
        <v>2</v>
      </c>
      <c r="AJ572">
        <v>0</v>
      </c>
      <c r="AK572">
        <v>2</v>
      </c>
      <c r="AL572" t="s">
        <v>4219</v>
      </c>
      <c r="AM572" t="s">
        <v>1593</v>
      </c>
      <c r="AN572" t="s">
        <v>4220</v>
      </c>
      <c r="AO572" t="s">
        <v>4221</v>
      </c>
      <c r="AP572" t="s">
        <v>74</v>
      </c>
      <c r="AQ572" t="s">
        <v>74</v>
      </c>
      <c r="AR572" t="s">
        <v>4222</v>
      </c>
      <c r="AS572" t="s">
        <v>4223</v>
      </c>
      <c r="AT572" t="s">
        <v>8354</v>
      </c>
      <c r="AU572">
        <v>2007</v>
      </c>
      <c r="AV572">
        <v>43</v>
      </c>
      <c r="AW572">
        <v>225</v>
      </c>
      <c r="AX572" t="s">
        <v>74</v>
      </c>
      <c r="AY572" t="s">
        <v>74</v>
      </c>
      <c r="AZ572" t="s">
        <v>74</v>
      </c>
      <c r="BA572" t="s">
        <v>74</v>
      </c>
      <c r="BB572">
        <v>143</v>
      </c>
      <c r="BC572">
        <v>153</v>
      </c>
      <c r="BD572" t="s">
        <v>74</v>
      </c>
      <c r="BE572" t="s">
        <v>9218</v>
      </c>
      <c r="BF572" t="str">
        <f>HYPERLINK("http://dx.doi.org/10.1017/S0032247407006109","http://dx.doi.org/10.1017/S0032247407006109")</f>
        <v>http://dx.doi.org/10.1017/S0032247407006109</v>
      </c>
      <c r="BG572" t="s">
        <v>74</v>
      </c>
      <c r="BH572" t="s">
        <v>74</v>
      </c>
      <c r="BI572">
        <v>11</v>
      </c>
      <c r="BJ572" t="s">
        <v>1743</v>
      </c>
      <c r="BK572" t="s">
        <v>98</v>
      </c>
      <c r="BL572" t="s">
        <v>911</v>
      </c>
      <c r="BM572" t="s">
        <v>9210</v>
      </c>
      <c r="BN572" t="s">
        <v>74</v>
      </c>
      <c r="BO572" t="s">
        <v>74</v>
      </c>
      <c r="BP572" t="s">
        <v>74</v>
      </c>
      <c r="BQ572" t="s">
        <v>74</v>
      </c>
      <c r="BR572" t="s">
        <v>101</v>
      </c>
      <c r="BS572" t="s">
        <v>9219</v>
      </c>
      <c r="BT572" t="str">
        <f>HYPERLINK("https%3A%2F%2Fwww.webofscience.com%2Fwos%2Fwoscc%2Ffull-record%2FWOS:000246285100004","View Full Record in Web of Science")</f>
        <v>View Full Record in Web of Science</v>
      </c>
    </row>
    <row r="573" spans="1:72" x14ac:dyDescent="0.15">
      <c r="A573" t="s">
        <v>72</v>
      </c>
      <c r="B573" t="s">
        <v>9220</v>
      </c>
      <c r="C573" t="s">
        <v>74</v>
      </c>
      <c r="D573" t="s">
        <v>74</v>
      </c>
      <c r="E573" t="s">
        <v>74</v>
      </c>
      <c r="F573" t="s">
        <v>9221</v>
      </c>
      <c r="G573" t="s">
        <v>74</v>
      </c>
      <c r="H573" t="s">
        <v>74</v>
      </c>
      <c r="I573" t="s">
        <v>9222</v>
      </c>
      <c r="J573" t="s">
        <v>2553</v>
      </c>
      <c r="K573" t="s">
        <v>74</v>
      </c>
      <c r="L573" t="s">
        <v>74</v>
      </c>
      <c r="M573" t="s">
        <v>78</v>
      </c>
      <c r="N573" t="s">
        <v>79</v>
      </c>
      <c r="O573" t="s">
        <v>74</v>
      </c>
      <c r="P573" t="s">
        <v>74</v>
      </c>
      <c r="Q573" t="s">
        <v>74</v>
      </c>
      <c r="R573" t="s">
        <v>74</v>
      </c>
      <c r="S573" t="s">
        <v>74</v>
      </c>
      <c r="T573" t="s">
        <v>74</v>
      </c>
      <c r="U573" t="s">
        <v>9223</v>
      </c>
      <c r="V573" t="s">
        <v>9224</v>
      </c>
      <c r="W573" t="s">
        <v>9225</v>
      </c>
      <c r="X573" t="s">
        <v>9226</v>
      </c>
      <c r="Y573" t="s">
        <v>9227</v>
      </c>
      <c r="Z573" t="s">
        <v>9228</v>
      </c>
      <c r="AA573" t="s">
        <v>9229</v>
      </c>
      <c r="AB573" t="s">
        <v>9230</v>
      </c>
      <c r="AC573" t="s">
        <v>9231</v>
      </c>
      <c r="AD573" t="s">
        <v>9232</v>
      </c>
      <c r="AE573" t="s">
        <v>74</v>
      </c>
      <c r="AF573" t="s">
        <v>74</v>
      </c>
      <c r="AG573">
        <v>61</v>
      </c>
      <c r="AH573">
        <v>130</v>
      </c>
      <c r="AI573">
        <v>138</v>
      </c>
      <c r="AJ573">
        <v>0</v>
      </c>
      <c r="AK573">
        <v>42</v>
      </c>
      <c r="AL573" t="s">
        <v>1503</v>
      </c>
      <c r="AM573" t="s">
        <v>1504</v>
      </c>
      <c r="AN573" t="s">
        <v>1505</v>
      </c>
      <c r="AO573" t="s">
        <v>2562</v>
      </c>
      <c r="AP573" t="s">
        <v>9233</v>
      </c>
      <c r="AQ573" t="s">
        <v>74</v>
      </c>
      <c r="AR573" t="s">
        <v>2563</v>
      </c>
      <c r="AS573" t="s">
        <v>2564</v>
      </c>
      <c r="AT573" t="s">
        <v>8354</v>
      </c>
      <c r="AU573">
        <v>2007</v>
      </c>
      <c r="AV573">
        <v>26</v>
      </c>
      <c r="AW573" t="s">
        <v>3904</v>
      </c>
      <c r="AX573" t="s">
        <v>74</v>
      </c>
      <c r="AY573" t="s">
        <v>74</v>
      </c>
      <c r="AZ573" t="s">
        <v>74</v>
      </c>
      <c r="BA573" t="s">
        <v>74</v>
      </c>
      <c r="BB573">
        <v>862</v>
      </c>
      <c r="BC573">
        <v>875</v>
      </c>
      <c r="BD573" t="s">
        <v>74</v>
      </c>
      <c r="BE573" t="s">
        <v>9234</v>
      </c>
      <c r="BF573" t="str">
        <f>HYPERLINK("http://dx.doi.org/10.1016/j.quascirev.2006.12.002","http://dx.doi.org/10.1016/j.quascirev.2006.12.002")</f>
        <v>http://dx.doi.org/10.1016/j.quascirev.2006.12.002</v>
      </c>
      <c r="BG573" t="s">
        <v>74</v>
      </c>
      <c r="BH573" t="s">
        <v>74</v>
      </c>
      <c r="BI573">
        <v>14</v>
      </c>
      <c r="BJ573" t="s">
        <v>2567</v>
      </c>
      <c r="BK573" t="s">
        <v>98</v>
      </c>
      <c r="BL573" t="s">
        <v>2568</v>
      </c>
      <c r="BM573" t="s">
        <v>9235</v>
      </c>
      <c r="BN573" t="s">
        <v>74</v>
      </c>
      <c r="BO573" t="s">
        <v>74</v>
      </c>
      <c r="BP573" t="s">
        <v>74</v>
      </c>
      <c r="BQ573" t="s">
        <v>74</v>
      </c>
      <c r="BR573" t="s">
        <v>101</v>
      </c>
      <c r="BS573" t="s">
        <v>9236</v>
      </c>
      <c r="BT573" t="str">
        <f>HYPERLINK("https%3A%2F%2Fwww.webofscience.com%2Fwos%2Fwoscc%2Ffull-record%2FWOS:000248732200004","View Full Record in Web of Science")</f>
        <v>View Full Record in Web of Science</v>
      </c>
    </row>
    <row r="574" spans="1:72" x14ac:dyDescent="0.15">
      <c r="A574" t="s">
        <v>72</v>
      </c>
      <c r="B574" t="s">
        <v>9237</v>
      </c>
      <c r="C574" t="s">
        <v>74</v>
      </c>
      <c r="D574" t="s">
        <v>74</v>
      </c>
      <c r="E574" t="s">
        <v>74</v>
      </c>
      <c r="F574" t="s">
        <v>9238</v>
      </c>
      <c r="G574" t="s">
        <v>74</v>
      </c>
      <c r="H574" t="s">
        <v>74</v>
      </c>
      <c r="I574" t="s">
        <v>9239</v>
      </c>
      <c r="J574" t="s">
        <v>2553</v>
      </c>
      <c r="K574" t="s">
        <v>74</v>
      </c>
      <c r="L574" t="s">
        <v>74</v>
      </c>
      <c r="M574" t="s">
        <v>78</v>
      </c>
      <c r="N574" t="s">
        <v>79</v>
      </c>
      <c r="O574" t="s">
        <v>74</v>
      </c>
      <c r="P574" t="s">
        <v>74</v>
      </c>
      <c r="Q574" t="s">
        <v>74</v>
      </c>
      <c r="R574" t="s">
        <v>74</v>
      </c>
      <c r="S574" t="s">
        <v>74</v>
      </c>
      <c r="T574" t="s">
        <v>74</v>
      </c>
      <c r="U574" t="s">
        <v>9240</v>
      </c>
      <c r="V574" t="s">
        <v>9241</v>
      </c>
      <c r="W574" t="s">
        <v>9242</v>
      </c>
      <c r="X574" t="s">
        <v>9243</v>
      </c>
      <c r="Y574" t="s">
        <v>9244</v>
      </c>
      <c r="Z574" t="s">
        <v>9245</v>
      </c>
      <c r="AA574" t="s">
        <v>9246</v>
      </c>
      <c r="AB574" t="s">
        <v>9247</v>
      </c>
      <c r="AC574" t="s">
        <v>74</v>
      </c>
      <c r="AD574" t="s">
        <v>74</v>
      </c>
      <c r="AE574" t="s">
        <v>74</v>
      </c>
      <c r="AF574" t="s">
        <v>74</v>
      </c>
      <c r="AG574">
        <v>69</v>
      </c>
      <c r="AH574">
        <v>38</v>
      </c>
      <c r="AI574">
        <v>44</v>
      </c>
      <c r="AJ574">
        <v>0</v>
      </c>
      <c r="AK574">
        <v>2</v>
      </c>
      <c r="AL574" t="s">
        <v>1503</v>
      </c>
      <c r="AM574" t="s">
        <v>1504</v>
      </c>
      <c r="AN574" t="s">
        <v>1505</v>
      </c>
      <c r="AO574" t="s">
        <v>2562</v>
      </c>
      <c r="AP574" t="s">
        <v>74</v>
      </c>
      <c r="AQ574" t="s">
        <v>74</v>
      </c>
      <c r="AR574" t="s">
        <v>2563</v>
      </c>
      <c r="AS574" t="s">
        <v>2564</v>
      </c>
      <c r="AT574" t="s">
        <v>8354</v>
      </c>
      <c r="AU574">
        <v>2007</v>
      </c>
      <c r="AV574">
        <v>26</v>
      </c>
      <c r="AW574" t="s">
        <v>3904</v>
      </c>
      <c r="AX574" t="s">
        <v>74</v>
      </c>
      <c r="AY574" t="s">
        <v>74</v>
      </c>
      <c r="AZ574" t="s">
        <v>74</v>
      </c>
      <c r="BA574" t="s">
        <v>74</v>
      </c>
      <c r="BB574">
        <v>1055</v>
      </c>
      <c r="BC574">
        <v>1066</v>
      </c>
      <c r="BD574" t="s">
        <v>74</v>
      </c>
      <c r="BE574" t="s">
        <v>9248</v>
      </c>
      <c r="BF574" t="str">
        <f>HYPERLINK("http://dx.doi.org/10.1016/j.quascirev.2006.12.008","http://dx.doi.org/10.1016/j.quascirev.2006.12.008")</f>
        <v>http://dx.doi.org/10.1016/j.quascirev.2006.12.008</v>
      </c>
      <c r="BG574" t="s">
        <v>74</v>
      </c>
      <c r="BH574" t="s">
        <v>74</v>
      </c>
      <c r="BI574">
        <v>12</v>
      </c>
      <c r="BJ574" t="s">
        <v>2567</v>
      </c>
      <c r="BK574" t="s">
        <v>98</v>
      </c>
      <c r="BL574" t="s">
        <v>2568</v>
      </c>
      <c r="BM574" t="s">
        <v>9235</v>
      </c>
      <c r="BN574" t="s">
        <v>74</v>
      </c>
      <c r="BO574" t="s">
        <v>74</v>
      </c>
      <c r="BP574" t="s">
        <v>74</v>
      </c>
      <c r="BQ574" t="s">
        <v>74</v>
      </c>
      <c r="BR574" t="s">
        <v>101</v>
      </c>
      <c r="BS574" t="s">
        <v>9249</v>
      </c>
      <c r="BT574" t="str">
        <f>HYPERLINK("https%3A%2F%2Fwww.webofscience.com%2Fwos%2Fwoscc%2Ffull-record%2FWOS:000248732200015","View Full Record in Web of Science")</f>
        <v>View Full Record in Web of Science</v>
      </c>
    </row>
    <row r="575" spans="1:72" x14ac:dyDescent="0.15">
      <c r="A575" t="s">
        <v>72</v>
      </c>
      <c r="B575" t="s">
        <v>9250</v>
      </c>
      <c r="C575" t="s">
        <v>74</v>
      </c>
      <c r="D575" t="s">
        <v>74</v>
      </c>
      <c r="E575" t="s">
        <v>74</v>
      </c>
      <c r="F575" t="s">
        <v>9251</v>
      </c>
      <c r="G575" t="s">
        <v>74</v>
      </c>
      <c r="H575" t="s">
        <v>74</v>
      </c>
      <c r="I575" t="s">
        <v>9252</v>
      </c>
      <c r="J575" t="s">
        <v>2553</v>
      </c>
      <c r="K575" t="s">
        <v>74</v>
      </c>
      <c r="L575" t="s">
        <v>74</v>
      </c>
      <c r="M575" t="s">
        <v>78</v>
      </c>
      <c r="N575" t="s">
        <v>8183</v>
      </c>
      <c r="O575" t="s">
        <v>74</v>
      </c>
      <c r="P575" t="s">
        <v>74</v>
      </c>
      <c r="Q575" t="s">
        <v>74</v>
      </c>
      <c r="R575" t="s">
        <v>74</v>
      </c>
      <c r="S575" t="s">
        <v>74</v>
      </c>
      <c r="T575" t="s">
        <v>74</v>
      </c>
      <c r="U575" t="s">
        <v>9253</v>
      </c>
      <c r="V575" t="s">
        <v>9254</v>
      </c>
      <c r="W575" t="s">
        <v>9255</v>
      </c>
      <c r="X575" t="s">
        <v>9256</v>
      </c>
      <c r="Y575" t="s">
        <v>9257</v>
      </c>
      <c r="Z575" t="s">
        <v>74</v>
      </c>
      <c r="AA575" t="s">
        <v>74</v>
      </c>
      <c r="AB575" t="s">
        <v>74</v>
      </c>
      <c r="AC575" t="s">
        <v>74</v>
      </c>
      <c r="AD575" t="s">
        <v>74</v>
      </c>
      <c r="AE575" t="s">
        <v>74</v>
      </c>
      <c r="AF575" t="s">
        <v>74</v>
      </c>
      <c r="AG575">
        <v>97</v>
      </c>
      <c r="AH575">
        <v>7</v>
      </c>
      <c r="AI575">
        <v>7</v>
      </c>
      <c r="AJ575">
        <v>0</v>
      </c>
      <c r="AK575">
        <v>2</v>
      </c>
      <c r="AL575" t="s">
        <v>1503</v>
      </c>
      <c r="AM575" t="s">
        <v>1504</v>
      </c>
      <c r="AN575" t="s">
        <v>1505</v>
      </c>
      <c r="AO575" t="s">
        <v>2562</v>
      </c>
      <c r="AP575" t="s">
        <v>74</v>
      </c>
      <c r="AQ575" t="s">
        <v>74</v>
      </c>
      <c r="AR575" t="s">
        <v>2563</v>
      </c>
      <c r="AS575" t="s">
        <v>2564</v>
      </c>
      <c r="AT575" t="s">
        <v>8354</v>
      </c>
      <c r="AU575">
        <v>2007</v>
      </c>
      <c r="AV575">
        <v>26</v>
      </c>
      <c r="AW575" t="s">
        <v>3904</v>
      </c>
      <c r="AX575" t="s">
        <v>74</v>
      </c>
      <c r="AY575" t="s">
        <v>74</v>
      </c>
      <c r="AZ575" t="s">
        <v>74</v>
      </c>
      <c r="BA575" t="s">
        <v>74</v>
      </c>
      <c r="BB575">
        <v>1148</v>
      </c>
      <c r="BC575">
        <v>1191</v>
      </c>
      <c r="BD575" t="s">
        <v>74</v>
      </c>
      <c r="BE575" t="s">
        <v>9258</v>
      </c>
      <c r="BF575" t="str">
        <f>HYPERLINK("http://dx.doi.org/10.1016/j.quascirev.2007.03.001","http://dx.doi.org/10.1016/j.quascirev.2007.03.001")</f>
        <v>http://dx.doi.org/10.1016/j.quascirev.2007.03.001</v>
      </c>
      <c r="BG575" t="s">
        <v>74</v>
      </c>
      <c r="BH575" t="s">
        <v>74</v>
      </c>
      <c r="BI575">
        <v>44</v>
      </c>
      <c r="BJ575" t="s">
        <v>2567</v>
      </c>
      <c r="BK575" t="s">
        <v>98</v>
      </c>
      <c r="BL575" t="s">
        <v>2568</v>
      </c>
      <c r="BM575" t="s">
        <v>9235</v>
      </c>
      <c r="BN575" t="s">
        <v>74</v>
      </c>
      <c r="BO575" t="s">
        <v>74</v>
      </c>
      <c r="BP575" t="s">
        <v>74</v>
      </c>
      <c r="BQ575" t="s">
        <v>74</v>
      </c>
      <c r="BR575" t="s">
        <v>101</v>
      </c>
      <c r="BS575" t="s">
        <v>9259</v>
      </c>
      <c r="BT575" t="str">
        <f>HYPERLINK("https%3A%2F%2Fwww.webofscience.com%2Fwos%2Fwoscc%2Ffull-record%2FWOS:000248732200020","View Full Record in Web of Science")</f>
        <v>View Full Record in Web of Science</v>
      </c>
    </row>
    <row r="576" spans="1:72" x14ac:dyDescent="0.15">
      <c r="A576" t="s">
        <v>72</v>
      </c>
      <c r="B576" t="s">
        <v>9260</v>
      </c>
      <c r="C576" t="s">
        <v>74</v>
      </c>
      <c r="D576" t="s">
        <v>74</v>
      </c>
      <c r="E576" t="s">
        <v>74</v>
      </c>
      <c r="F576" t="s">
        <v>9261</v>
      </c>
      <c r="G576" t="s">
        <v>74</v>
      </c>
      <c r="H576" t="s">
        <v>74</v>
      </c>
      <c r="I576" t="s">
        <v>9262</v>
      </c>
      <c r="J576" t="s">
        <v>9263</v>
      </c>
      <c r="K576" t="s">
        <v>74</v>
      </c>
      <c r="L576" t="s">
        <v>74</v>
      </c>
      <c r="M576" t="s">
        <v>78</v>
      </c>
      <c r="N576" t="s">
        <v>79</v>
      </c>
      <c r="O576" t="s">
        <v>74</v>
      </c>
      <c r="P576" t="s">
        <v>74</v>
      </c>
      <c r="Q576" t="s">
        <v>74</v>
      </c>
      <c r="R576" t="s">
        <v>74</v>
      </c>
      <c r="S576" t="s">
        <v>74</v>
      </c>
      <c r="T576" t="s">
        <v>74</v>
      </c>
      <c r="U576" t="s">
        <v>74</v>
      </c>
      <c r="V576" t="s">
        <v>9264</v>
      </c>
      <c r="W576" t="s">
        <v>9265</v>
      </c>
      <c r="X576" t="s">
        <v>74</v>
      </c>
      <c r="Y576" t="s">
        <v>9266</v>
      </c>
      <c r="Z576" t="s">
        <v>74</v>
      </c>
      <c r="AA576" t="s">
        <v>9267</v>
      </c>
      <c r="AB576" t="s">
        <v>74</v>
      </c>
      <c r="AC576" t="s">
        <v>74</v>
      </c>
      <c r="AD576" t="s">
        <v>74</v>
      </c>
      <c r="AE576" t="s">
        <v>74</v>
      </c>
      <c r="AF576" t="s">
        <v>74</v>
      </c>
      <c r="AG576">
        <v>11</v>
      </c>
      <c r="AH576">
        <v>2</v>
      </c>
      <c r="AI576">
        <v>2</v>
      </c>
      <c r="AJ576">
        <v>0</v>
      </c>
      <c r="AK576">
        <v>0</v>
      </c>
      <c r="AL576" t="s">
        <v>1677</v>
      </c>
      <c r="AM576" t="s">
        <v>1593</v>
      </c>
      <c r="AN576" t="s">
        <v>1678</v>
      </c>
      <c r="AO576" t="s">
        <v>9268</v>
      </c>
      <c r="AP576" t="s">
        <v>9269</v>
      </c>
      <c r="AQ576" t="s">
        <v>74</v>
      </c>
      <c r="AR576" t="s">
        <v>9270</v>
      </c>
      <c r="AS576" t="s">
        <v>9271</v>
      </c>
      <c r="AT576" t="s">
        <v>8354</v>
      </c>
      <c r="AU576">
        <v>2007</v>
      </c>
      <c r="AV576">
        <v>49</v>
      </c>
      <c r="AW576">
        <v>2</v>
      </c>
      <c r="AX576" t="s">
        <v>74</v>
      </c>
      <c r="AY576" t="s">
        <v>74</v>
      </c>
      <c r="AZ576" t="s">
        <v>74</v>
      </c>
      <c r="BA576" t="s">
        <v>74</v>
      </c>
      <c r="BB576">
        <v>190</v>
      </c>
      <c r="BC576">
        <v>193</v>
      </c>
      <c r="BD576" t="s">
        <v>74</v>
      </c>
      <c r="BE576" t="s">
        <v>9272</v>
      </c>
      <c r="BF576" t="str">
        <f>HYPERLINK("http://dx.doi.org/10.1134/S106636220702018X","http://dx.doi.org/10.1134/S106636220702018X")</f>
        <v>http://dx.doi.org/10.1134/S106636220702018X</v>
      </c>
      <c r="BG576" t="s">
        <v>74</v>
      </c>
      <c r="BH576" t="s">
        <v>74</v>
      </c>
      <c r="BI576">
        <v>4</v>
      </c>
      <c r="BJ576" t="s">
        <v>9273</v>
      </c>
      <c r="BK576" t="s">
        <v>4083</v>
      </c>
      <c r="BL576" t="s">
        <v>6486</v>
      </c>
      <c r="BM576" t="s">
        <v>9274</v>
      </c>
      <c r="BN576" t="s">
        <v>74</v>
      </c>
      <c r="BO576" t="s">
        <v>74</v>
      </c>
      <c r="BP576" t="s">
        <v>74</v>
      </c>
      <c r="BQ576" t="s">
        <v>74</v>
      </c>
      <c r="BR576" t="s">
        <v>101</v>
      </c>
      <c r="BS576" t="s">
        <v>9275</v>
      </c>
      <c r="BT576" t="str">
        <f>HYPERLINK("https%3A%2F%2Fwww.webofscience.com%2Fwos%2Fwoscc%2Ffull-record%2FWOS:000415504000018","View Full Record in Web of Science")</f>
        <v>View Full Record in Web of Science</v>
      </c>
    </row>
    <row r="577" spans="1:72" x14ac:dyDescent="0.15">
      <c r="A577" t="s">
        <v>72</v>
      </c>
      <c r="B577" t="s">
        <v>9276</v>
      </c>
      <c r="C577" t="s">
        <v>74</v>
      </c>
      <c r="D577" t="s">
        <v>74</v>
      </c>
      <c r="E577" t="s">
        <v>74</v>
      </c>
      <c r="F577" t="s">
        <v>9277</v>
      </c>
      <c r="G577" t="s">
        <v>74</v>
      </c>
      <c r="H577" t="s">
        <v>74</v>
      </c>
      <c r="I577" t="s">
        <v>9278</v>
      </c>
      <c r="J577" t="s">
        <v>9279</v>
      </c>
      <c r="K577" t="s">
        <v>74</v>
      </c>
      <c r="L577" t="s">
        <v>74</v>
      </c>
      <c r="M577" t="s">
        <v>78</v>
      </c>
      <c r="N577" t="s">
        <v>514</v>
      </c>
      <c r="O577" t="s">
        <v>9280</v>
      </c>
      <c r="P577" t="s">
        <v>9281</v>
      </c>
      <c r="Q577" t="s">
        <v>9282</v>
      </c>
      <c r="R577" t="s">
        <v>74</v>
      </c>
      <c r="S577" t="s">
        <v>74</v>
      </c>
      <c r="T577" t="s">
        <v>9283</v>
      </c>
      <c r="U577" t="s">
        <v>9284</v>
      </c>
      <c r="V577" t="s">
        <v>9285</v>
      </c>
      <c r="W577" t="s">
        <v>9286</v>
      </c>
      <c r="X577" t="s">
        <v>9287</v>
      </c>
      <c r="Y577" t="s">
        <v>9288</v>
      </c>
      <c r="Z577" t="s">
        <v>9289</v>
      </c>
      <c r="AA577" t="s">
        <v>74</v>
      </c>
      <c r="AB577" t="s">
        <v>74</v>
      </c>
      <c r="AC577" t="s">
        <v>74</v>
      </c>
      <c r="AD577" t="s">
        <v>74</v>
      </c>
      <c r="AE577" t="s">
        <v>74</v>
      </c>
      <c r="AF577" t="s">
        <v>74</v>
      </c>
      <c r="AG577">
        <v>33</v>
      </c>
      <c r="AH577">
        <v>9</v>
      </c>
      <c r="AI577">
        <v>11</v>
      </c>
      <c r="AJ577">
        <v>0</v>
      </c>
      <c r="AK577">
        <v>3</v>
      </c>
      <c r="AL577" t="s">
        <v>272</v>
      </c>
      <c r="AM577" t="s">
        <v>273</v>
      </c>
      <c r="AN577" t="s">
        <v>274</v>
      </c>
      <c r="AO577" t="s">
        <v>9290</v>
      </c>
      <c r="AP577" t="s">
        <v>9291</v>
      </c>
      <c r="AQ577" t="s">
        <v>74</v>
      </c>
      <c r="AR577" t="s">
        <v>9292</v>
      </c>
      <c r="AS577" t="s">
        <v>9293</v>
      </c>
      <c r="AT577" t="s">
        <v>8354</v>
      </c>
      <c r="AU577">
        <v>2007</v>
      </c>
      <c r="AV577">
        <v>144</v>
      </c>
      <c r="AW577" t="s">
        <v>280</v>
      </c>
      <c r="AX577" t="s">
        <v>74</v>
      </c>
      <c r="AY577" t="s">
        <v>74</v>
      </c>
      <c r="AZ577" t="s">
        <v>74</v>
      </c>
      <c r="BA577" t="s">
        <v>74</v>
      </c>
      <c r="BB577">
        <v>3</v>
      </c>
      <c r="BC577">
        <v>12</v>
      </c>
      <c r="BD577" t="s">
        <v>74</v>
      </c>
      <c r="BE577" t="s">
        <v>9294</v>
      </c>
      <c r="BF577" t="str">
        <f>HYPERLINK("http://dx.doi.org/10.1016/j.revpalbo.2005.09.005","http://dx.doi.org/10.1016/j.revpalbo.2005.09.005")</f>
        <v>http://dx.doi.org/10.1016/j.revpalbo.2005.09.005</v>
      </c>
      <c r="BG577" t="s">
        <v>74</v>
      </c>
      <c r="BH577" t="s">
        <v>74</v>
      </c>
      <c r="BI577">
        <v>10</v>
      </c>
      <c r="BJ577" t="s">
        <v>9295</v>
      </c>
      <c r="BK577" t="s">
        <v>535</v>
      </c>
      <c r="BL577" t="s">
        <v>9295</v>
      </c>
      <c r="BM577" t="s">
        <v>9296</v>
      </c>
      <c r="BN577" t="s">
        <v>74</v>
      </c>
      <c r="BO577" t="s">
        <v>74</v>
      </c>
      <c r="BP577" t="s">
        <v>74</v>
      </c>
      <c r="BQ577" t="s">
        <v>74</v>
      </c>
      <c r="BR577" t="s">
        <v>101</v>
      </c>
      <c r="BS577" t="s">
        <v>9297</v>
      </c>
      <c r="BT577" t="str">
        <f>HYPERLINK("https%3A%2F%2Fwww.webofscience.com%2Fwos%2Fwoscc%2Ffull-record%2FWOS:000245502000002","View Full Record in Web of Science")</f>
        <v>View Full Record in Web of Science</v>
      </c>
    </row>
    <row r="578" spans="1:72" x14ac:dyDescent="0.15">
      <c r="A578" t="s">
        <v>72</v>
      </c>
      <c r="B578" t="s">
        <v>9298</v>
      </c>
      <c r="C578" t="s">
        <v>74</v>
      </c>
      <c r="D578" t="s">
        <v>74</v>
      </c>
      <c r="E578" t="s">
        <v>74</v>
      </c>
      <c r="F578" t="s">
        <v>9299</v>
      </c>
      <c r="G578" t="s">
        <v>74</v>
      </c>
      <c r="H578" t="s">
        <v>74</v>
      </c>
      <c r="I578" t="s">
        <v>9300</v>
      </c>
      <c r="J578" t="s">
        <v>9301</v>
      </c>
      <c r="K578" t="s">
        <v>74</v>
      </c>
      <c r="L578" t="s">
        <v>74</v>
      </c>
      <c r="M578" t="s">
        <v>78</v>
      </c>
      <c r="N578" t="s">
        <v>79</v>
      </c>
      <c r="O578" t="s">
        <v>74</v>
      </c>
      <c r="P578" t="s">
        <v>74</v>
      </c>
      <c r="Q578" t="s">
        <v>74</v>
      </c>
      <c r="R578" t="s">
        <v>74</v>
      </c>
      <c r="S578" t="s">
        <v>74</v>
      </c>
      <c r="T578" t="s">
        <v>9302</v>
      </c>
      <c r="U578" t="s">
        <v>9303</v>
      </c>
      <c r="V578" t="s">
        <v>9304</v>
      </c>
      <c r="W578" t="s">
        <v>9305</v>
      </c>
      <c r="X578" t="s">
        <v>74</v>
      </c>
      <c r="Y578" t="s">
        <v>9306</v>
      </c>
      <c r="Z578" t="s">
        <v>9307</v>
      </c>
      <c r="AA578" t="s">
        <v>74</v>
      </c>
      <c r="AB578" t="s">
        <v>74</v>
      </c>
      <c r="AC578" t="s">
        <v>74</v>
      </c>
      <c r="AD578" t="s">
        <v>74</v>
      </c>
      <c r="AE578" t="s">
        <v>74</v>
      </c>
      <c r="AF578" t="s">
        <v>74</v>
      </c>
      <c r="AG578">
        <v>59</v>
      </c>
      <c r="AH578">
        <v>3</v>
      </c>
      <c r="AI578">
        <v>3</v>
      </c>
      <c r="AJ578">
        <v>0</v>
      </c>
      <c r="AK578">
        <v>5</v>
      </c>
      <c r="AL578" t="s">
        <v>9308</v>
      </c>
      <c r="AM578" t="s">
        <v>9309</v>
      </c>
      <c r="AN578" t="s">
        <v>9310</v>
      </c>
      <c r="AO578" t="s">
        <v>9311</v>
      </c>
      <c r="AP578" t="s">
        <v>74</v>
      </c>
      <c r="AQ578" t="s">
        <v>74</v>
      </c>
      <c r="AR578" t="s">
        <v>9312</v>
      </c>
      <c r="AS578" t="s">
        <v>9313</v>
      </c>
      <c r="AT578" t="s">
        <v>8354</v>
      </c>
      <c r="AU578">
        <v>2007</v>
      </c>
      <c r="AV578">
        <v>42</v>
      </c>
      <c r="AW578">
        <v>1</v>
      </c>
      <c r="AX578" t="s">
        <v>74</v>
      </c>
      <c r="AY578" t="s">
        <v>74</v>
      </c>
      <c r="AZ578" t="s">
        <v>74</v>
      </c>
      <c r="BA578" t="s">
        <v>74</v>
      </c>
      <c r="BB578">
        <v>37</v>
      </c>
      <c r="BC578">
        <v>47</v>
      </c>
      <c r="BD578" t="s">
        <v>74</v>
      </c>
      <c r="BE578" t="s">
        <v>74</v>
      </c>
      <c r="BF578" t="s">
        <v>74</v>
      </c>
      <c r="BG578" t="s">
        <v>74</v>
      </c>
      <c r="BH578" t="s">
        <v>74</v>
      </c>
      <c r="BI578">
        <v>11</v>
      </c>
      <c r="BJ578" t="s">
        <v>2093</v>
      </c>
      <c r="BK578" t="s">
        <v>98</v>
      </c>
      <c r="BL578" t="s">
        <v>2093</v>
      </c>
      <c r="BM578" t="s">
        <v>9314</v>
      </c>
      <c r="BN578" t="s">
        <v>74</v>
      </c>
      <c r="BO578" t="s">
        <v>74</v>
      </c>
      <c r="BP578" t="s">
        <v>74</v>
      </c>
      <c r="BQ578" t="s">
        <v>74</v>
      </c>
      <c r="BR578" t="s">
        <v>101</v>
      </c>
      <c r="BS578" t="s">
        <v>9315</v>
      </c>
      <c r="BT578" t="str">
        <f>HYPERLINK("https%3A%2F%2Fwww.webofscience.com%2Fwos%2Fwoscc%2Ffull-record%2FWOS:000249354900005","View Full Record in Web of Science")</f>
        <v>View Full Record in Web of Science</v>
      </c>
    </row>
    <row r="579" spans="1:72" x14ac:dyDescent="0.15">
      <c r="A579" t="s">
        <v>72</v>
      </c>
      <c r="B579" t="s">
        <v>9316</v>
      </c>
      <c r="C579" t="s">
        <v>74</v>
      </c>
      <c r="D579" t="s">
        <v>74</v>
      </c>
      <c r="E579" t="s">
        <v>74</v>
      </c>
      <c r="F579" t="s">
        <v>9317</v>
      </c>
      <c r="G579" t="s">
        <v>74</v>
      </c>
      <c r="H579" t="s">
        <v>74</v>
      </c>
      <c r="I579" t="s">
        <v>9318</v>
      </c>
      <c r="J579" t="s">
        <v>9319</v>
      </c>
      <c r="K579" t="s">
        <v>74</v>
      </c>
      <c r="L579" t="s">
        <v>74</v>
      </c>
      <c r="M579" t="s">
        <v>78</v>
      </c>
      <c r="N579" t="s">
        <v>79</v>
      </c>
      <c r="O579" t="s">
        <v>74</v>
      </c>
      <c r="P579" t="s">
        <v>74</v>
      </c>
      <c r="Q579" t="s">
        <v>74</v>
      </c>
      <c r="R579" t="s">
        <v>74</v>
      </c>
      <c r="S579" t="s">
        <v>74</v>
      </c>
      <c r="T579" t="s">
        <v>9320</v>
      </c>
      <c r="U579" t="s">
        <v>9321</v>
      </c>
      <c r="V579" t="s">
        <v>9322</v>
      </c>
      <c r="W579" t="s">
        <v>9323</v>
      </c>
      <c r="X579" t="s">
        <v>9324</v>
      </c>
      <c r="Y579" t="s">
        <v>9325</v>
      </c>
      <c r="Z579" t="s">
        <v>9326</v>
      </c>
      <c r="AA579" t="s">
        <v>74</v>
      </c>
      <c r="AB579" t="s">
        <v>74</v>
      </c>
      <c r="AC579" t="s">
        <v>9327</v>
      </c>
      <c r="AD579" t="s">
        <v>140</v>
      </c>
      <c r="AE579" t="s">
        <v>74</v>
      </c>
      <c r="AF579" t="s">
        <v>74</v>
      </c>
      <c r="AG579">
        <v>57</v>
      </c>
      <c r="AH579">
        <v>19</v>
      </c>
      <c r="AI579">
        <v>19</v>
      </c>
      <c r="AJ579">
        <v>1</v>
      </c>
      <c r="AK579">
        <v>16</v>
      </c>
      <c r="AL579" t="s">
        <v>1202</v>
      </c>
      <c r="AM579" t="s">
        <v>1203</v>
      </c>
      <c r="AN579" t="s">
        <v>1204</v>
      </c>
      <c r="AO579" t="s">
        <v>9328</v>
      </c>
      <c r="AP579" t="s">
        <v>9329</v>
      </c>
      <c r="AQ579" t="s">
        <v>74</v>
      </c>
      <c r="AR579" t="s">
        <v>9319</v>
      </c>
      <c r="AS579" t="s">
        <v>9330</v>
      </c>
      <c r="AT579" t="s">
        <v>8354</v>
      </c>
      <c r="AU579">
        <v>2007</v>
      </c>
      <c r="AV579">
        <v>54</v>
      </c>
      <c r="AW579">
        <v>2</v>
      </c>
      <c r="AX579" t="s">
        <v>74</v>
      </c>
      <c r="AY579" t="s">
        <v>74</v>
      </c>
      <c r="AZ579" t="s">
        <v>74</v>
      </c>
      <c r="BA579" t="s">
        <v>74</v>
      </c>
      <c r="BB579">
        <v>391</v>
      </c>
      <c r="BC579">
        <v>404</v>
      </c>
      <c r="BD579" t="s">
        <v>74</v>
      </c>
      <c r="BE579" t="s">
        <v>9331</v>
      </c>
      <c r="BF579" t="str">
        <f>HYPERLINK("http://dx.doi.org/10.1111/j.1365-3091.2006.00841.x","http://dx.doi.org/10.1111/j.1365-3091.2006.00841.x")</f>
        <v>http://dx.doi.org/10.1111/j.1365-3091.2006.00841.x</v>
      </c>
      <c r="BG579" t="s">
        <v>74</v>
      </c>
      <c r="BH579" t="s">
        <v>74</v>
      </c>
      <c r="BI579">
        <v>14</v>
      </c>
      <c r="BJ579" t="s">
        <v>152</v>
      </c>
      <c r="BK579" t="s">
        <v>98</v>
      </c>
      <c r="BL579" t="s">
        <v>152</v>
      </c>
      <c r="BM579" t="s">
        <v>9332</v>
      </c>
      <c r="BN579" t="s">
        <v>74</v>
      </c>
      <c r="BO579" t="s">
        <v>74</v>
      </c>
      <c r="BP579" t="s">
        <v>74</v>
      </c>
      <c r="BQ579" t="s">
        <v>74</v>
      </c>
      <c r="BR579" t="s">
        <v>101</v>
      </c>
      <c r="BS579" t="s">
        <v>9333</v>
      </c>
      <c r="BT579" t="str">
        <f>HYPERLINK("https%3A%2F%2Fwww.webofscience.com%2Fwos%2Fwoscc%2Ffull-record%2FWOS:000244886600007","View Full Record in Web of Science")</f>
        <v>View Full Record in Web of Science</v>
      </c>
    </row>
    <row r="580" spans="1:72" x14ac:dyDescent="0.15">
      <c r="A580" t="s">
        <v>72</v>
      </c>
      <c r="B580" t="s">
        <v>9334</v>
      </c>
      <c r="C580" t="s">
        <v>74</v>
      </c>
      <c r="D580" t="s">
        <v>74</v>
      </c>
      <c r="E580" t="s">
        <v>74</v>
      </c>
      <c r="F580" t="s">
        <v>9335</v>
      </c>
      <c r="G580" t="s">
        <v>74</v>
      </c>
      <c r="H580" t="s">
        <v>74</v>
      </c>
      <c r="I580" t="s">
        <v>9336</v>
      </c>
      <c r="J580" t="s">
        <v>9337</v>
      </c>
      <c r="K580" t="s">
        <v>74</v>
      </c>
      <c r="L580" t="s">
        <v>74</v>
      </c>
      <c r="M580" t="s">
        <v>78</v>
      </c>
      <c r="N580" t="s">
        <v>52</v>
      </c>
      <c r="O580" t="s">
        <v>74</v>
      </c>
      <c r="P580" t="s">
        <v>74</v>
      </c>
      <c r="Q580" t="s">
        <v>74</v>
      </c>
      <c r="R580" t="s">
        <v>74</v>
      </c>
      <c r="S580" t="s">
        <v>74</v>
      </c>
      <c r="T580" t="s">
        <v>74</v>
      </c>
      <c r="U580" t="s">
        <v>74</v>
      </c>
      <c r="V580" t="s">
        <v>74</v>
      </c>
      <c r="W580" t="s">
        <v>9338</v>
      </c>
      <c r="X580" t="s">
        <v>9339</v>
      </c>
      <c r="Y580" t="s">
        <v>74</v>
      </c>
      <c r="Z580" t="s">
        <v>74</v>
      </c>
      <c r="AA580" t="s">
        <v>9340</v>
      </c>
      <c r="AB580" t="s">
        <v>74</v>
      </c>
      <c r="AC580" t="s">
        <v>74</v>
      </c>
      <c r="AD580" t="s">
        <v>74</v>
      </c>
      <c r="AE580" t="s">
        <v>74</v>
      </c>
      <c r="AF580" t="s">
        <v>74</v>
      </c>
      <c r="AG580">
        <v>0</v>
      </c>
      <c r="AH580">
        <v>0</v>
      </c>
      <c r="AI580">
        <v>0</v>
      </c>
      <c r="AJ580">
        <v>0</v>
      </c>
      <c r="AK580">
        <v>15</v>
      </c>
      <c r="AL580" t="s">
        <v>592</v>
      </c>
      <c r="AM580" t="s">
        <v>273</v>
      </c>
      <c r="AN580" t="s">
        <v>593</v>
      </c>
      <c r="AO580" t="s">
        <v>9341</v>
      </c>
      <c r="AP580" t="s">
        <v>74</v>
      </c>
      <c r="AQ580" t="s">
        <v>74</v>
      </c>
      <c r="AR580" t="s">
        <v>9342</v>
      </c>
      <c r="AS580" t="s">
        <v>9343</v>
      </c>
      <c r="AT580" t="s">
        <v>8354</v>
      </c>
      <c r="AU580">
        <v>2007</v>
      </c>
      <c r="AV580">
        <v>73</v>
      </c>
      <c r="AW580">
        <v>2</v>
      </c>
      <c r="AX580" t="s">
        <v>74</v>
      </c>
      <c r="AY580" t="s">
        <v>74</v>
      </c>
      <c r="AZ580" t="s">
        <v>74</v>
      </c>
      <c r="BA580" t="s">
        <v>74</v>
      </c>
      <c r="BB580">
        <v>297</v>
      </c>
      <c r="BC580">
        <v>298</v>
      </c>
      <c r="BD580" t="s">
        <v>74</v>
      </c>
      <c r="BE580" t="s">
        <v>9344</v>
      </c>
      <c r="BF580" t="str">
        <f>HYPERLINK("http://dx.doi.org/10.1016/j.sajb.2007.02.073","http://dx.doi.org/10.1016/j.sajb.2007.02.073")</f>
        <v>http://dx.doi.org/10.1016/j.sajb.2007.02.073</v>
      </c>
      <c r="BG580" t="s">
        <v>74</v>
      </c>
      <c r="BH580" t="s">
        <v>74</v>
      </c>
      <c r="BI580">
        <v>2</v>
      </c>
      <c r="BJ580" t="s">
        <v>3433</v>
      </c>
      <c r="BK580" t="s">
        <v>98</v>
      </c>
      <c r="BL580" t="s">
        <v>3433</v>
      </c>
      <c r="BM580" t="s">
        <v>9345</v>
      </c>
      <c r="BN580" t="s">
        <v>74</v>
      </c>
      <c r="BO580" t="s">
        <v>577</v>
      </c>
      <c r="BP580" t="s">
        <v>74</v>
      </c>
      <c r="BQ580" t="s">
        <v>74</v>
      </c>
      <c r="BR580" t="s">
        <v>101</v>
      </c>
      <c r="BS580" t="s">
        <v>9346</v>
      </c>
      <c r="BT580" t="str">
        <f>HYPERLINK("https%3A%2F%2Fwww.webofscience.com%2Fwos%2Fwoscc%2Ffull-record%2FWOS:000246312700088","View Full Record in Web of Science")</f>
        <v>View Full Record in Web of Science</v>
      </c>
    </row>
    <row r="581" spans="1:72" x14ac:dyDescent="0.15">
      <c r="A581" t="s">
        <v>72</v>
      </c>
      <c r="B581" t="s">
        <v>9347</v>
      </c>
      <c r="C581" t="s">
        <v>74</v>
      </c>
      <c r="D581" t="s">
        <v>74</v>
      </c>
      <c r="E581" t="s">
        <v>74</v>
      </c>
      <c r="F581" t="s">
        <v>9348</v>
      </c>
      <c r="G581" t="s">
        <v>74</v>
      </c>
      <c r="H581" t="s">
        <v>74</v>
      </c>
      <c r="I581" t="s">
        <v>9349</v>
      </c>
      <c r="J581" t="s">
        <v>9350</v>
      </c>
      <c r="K581" t="s">
        <v>74</v>
      </c>
      <c r="L581" t="s">
        <v>74</v>
      </c>
      <c r="M581" t="s">
        <v>78</v>
      </c>
      <c r="N581" t="s">
        <v>79</v>
      </c>
      <c r="O581" t="s">
        <v>74</v>
      </c>
      <c r="P581" t="s">
        <v>74</v>
      </c>
      <c r="Q581" t="s">
        <v>74</v>
      </c>
      <c r="R581" t="s">
        <v>74</v>
      </c>
      <c r="S581" t="s">
        <v>74</v>
      </c>
      <c r="T581" t="s">
        <v>9351</v>
      </c>
      <c r="U581" t="s">
        <v>9352</v>
      </c>
      <c r="V581" t="s">
        <v>9353</v>
      </c>
      <c r="W581" t="s">
        <v>9354</v>
      </c>
      <c r="X581" t="s">
        <v>9355</v>
      </c>
      <c r="Y581" t="s">
        <v>9356</v>
      </c>
      <c r="Z581" t="s">
        <v>9357</v>
      </c>
      <c r="AA581" t="s">
        <v>9358</v>
      </c>
      <c r="AB581" t="s">
        <v>9359</v>
      </c>
      <c r="AC581" t="s">
        <v>74</v>
      </c>
      <c r="AD581" t="s">
        <v>74</v>
      </c>
      <c r="AE581" t="s">
        <v>74</v>
      </c>
      <c r="AF581" t="s">
        <v>74</v>
      </c>
      <c r="AG581">
        <v>64</v>
      </c>
      <c r="AH581">
        <v>24</v>
      </c>
      <c r="AI581">
        <v>26</v>
      </c>
      <c r="AJ581">
        <v>3</v>
      </c>
      <c r="AK581">
        <v>11</v>
      </c>
      <c r="AL581" t="s">
        <v>9360</v>
      </c>
      <c r="AM581" t="s">
        <v>9361</v>
      </c>
      <c r="AN581" t="s">
        <v>9362</v>
      </c>
      <c r="AO581" t="s">
        <v>9363</v>
      </c>
      <c r="AP581" t="s">
        <v>9364</v>
      </c>
      <c r="AQ581" t="s">
        <v>74</v>
      </c>
      <c r="AR581" t="s">
        <v>9365</v>
      </c>
      <c r="AS581" t="s">
        <v>9366</v>
      </c>
      <c r="AT581" t="s">
        <v>8354</v>
      </c>
      <c r="AU581">
        <v>2007</v>
      </c>
      <c r="AV581">
        <v>37</v>
      </c>
      <c r="AW581">
        <v>1</v>
      </c>
      <c r="AX581" t="s">
        <v>74</v>
      </c>
      <c r="AY581" t="s">
        <v>74</v>
      </c>
      <c r="AZ581" t="s">
        <v>74</v>
      </c>
      <c r="BA581" t="s">
        <v>74</v>
      </c>
      <c r="BB581">
        <v>1</v>
      </c>
      <c r="BC581">
        <v>8</v>
      </c>
      <c r="BD581" t="s">
        <v>74</v>
      </c>
      <c r="BE581" t="s">
        <v>9367</v>
      </c>
      <c r="BF581" t="str">
        <f>HYPERLINK("http://dx.doi.org/10.3957/0379-4369-37.1.1","http://dx.doi.org/10.3957/0379-4369-37.1.1")</f>
        <v>http://dx.doi.org/10.3957/0379-4369-37.1.1</v>
      </c>
      <c r="BG581" t="s">
        <v>74</v>
      </c>
      <c r="BH581" t="s">
        <v>74</v>
      </c>
      <c r="BI581">
        <v>8</v>
      </c>
      <c r="BJ581" t="s">
        <v>2154</v>
      </c>
      <c r="BK581" t="s">
        <v>98</v>
      </c>
      <c r="BL581" t="s">
        <v>2155</v>
      </c>
      <c r="BM581" t="s">
        <v>9368</v>
      </c>
      <c r="BN581" t="s">
        <v>74</v>
      </c>
      <c r="BO581" t="s">
        <v>1249</v>
      </c>
      <c r="BP581" t="s">
        <v>74</v>
      </c>
      <c r="BQ581" t="s">
        <v>74</v>
      </c>
      <c r="BR581" t="s">
        <v>101</v>
      </c>
      <c r="BS581" t="s">
        <v>9369</v>
      </c>
      <c r="BT581" t="str">
        <f>HYPERLINK("https%3A%2F%2Fwww.webofscience.com%2Fwos%2Fwoscc%2Ffull-record%2FWOS:000246475200001","View Full Record in Web of Science")</f>
        <v>View Full Record in Web of Science</v>
      </c>
    </row>
    <row r="582" spans="1:72" x14ac:dyDescent="0.15">
      <c r="A582" t="s">
        <v>72</v>
      </c>
      <c r="B582" t="s">
        <v>9370</v>
      </c>
      <c r="C582" t="s">
        <v>74</v>
      </c>
      <c r="D582" t="s">
        <v>74</v>
      </c>
      <c r="E582" t="s">
        <v>74</v>
      </c>
      <c r="F582" t="s">
        <v>9371</v>
      </c>
      <c r="G582" t="s">
        <v>74</v>
      </c>
      <c r="H582" t="s">
        <v>74</v>
      </c>
      <c r="I582" t="s">
        <v>9372</v>
      </c>
      <c r="J582" t="s">
        <v>9373</v>
      </c>
      <c r="K582" t="s">
        <v>74</v>
      </c>
      <c r="L582" t="s">
        <v>74</v>
      </c>
      <c r="M582" t="s">
        <v>78</v>
      </c>
      <c r="N582" t="s">
        <v>79</v>
      </c>
      <c r="O582" t="s">
        <v>74</v>
      </c>
      <c r="P582" t="s">
        <v>74</v>
      </c>
      <c r="Q582" t="s">
        <v>74</v>
      </c>
      <c r="R582" t="s">
        <v>74</v>
      </c>
      <c r="S582" t="s">
        <v>74</v>
      </c>
      <c r="T582" t="s">
        <v>74</v>
      </c>
      <c r="U582" t="s">
        <v>9374</v>
      </c>
      <c r="V582" t="s">
        <v>9375</v>
      </c>
      <c r="W582" t="s">
        <v>9376</v>
      </c>
      <c r="X582" t="s">
        <v>9377</v>
      </c>
      <c r="Y582" t="s">
        <v>9378</v>
      </c>
      <c r="Z582" t="s">
        <v>9379</v>
      </c>
      <c r="AA582" t="s">
        <v>9380</v>
      </c>
      <c r="AB582" t="s">
        <v>9381</v>
      </c>
      <c r="AC582" t="s">
        <v>74</v>
      </c>
      <c r="AD582" t="s">
        <v>74</v>
      </c>
      <c r="AE582" t="s">
        <v>74</v>
      </c>
      <c r="AF582" t="s">
        <v>74</v>
      </c>
      <c r="AG582">
        <v>48</v>
      </c>
      <c r="AH582">
        <v>5</v>
      </c>
      <c r="AI582">
        <v>5</v>
      </c>
      <c r="AJ582">
        <v>0</v>
      </c>
      <c r="AK582">
        <v>3</v>
      </c>
      <c r="AL582" t="s">
        <v>1202</v>
      </c>
      <c r="AM582" t="s">
        <v>1203</v>
      </c>
      <c r="AN582" t="s">
        <v>1204</v>
      </c>
      <c r="AO582" t="s">
        <v>9382</v>
      </c>
      <c r="AP582" t="s">
        <v>9383</v>
      </c>
      <c r="AQ582" t="s">
        <v>74</v>
      </c>
      <c r="AR582" t="s">
        <v>9384</v>
      </c>
      <c r="AS582" t="s">
        <v>9385</v>
      </c>
      <c r="AT582" t="s">
        <v>8354</v>
      </c>
      <c r="AU582">
        <v>2007</v>
      </c>
      <c r="AV582">
        <v>32</v>
      </c>
      <c r="AW582">
        <v>2</v>
      </c>
      <c r="AX582" t="s">
        <v>74</v>
      </c>
      <c r="AY582" t="s">
        <v>74</v>
      </c>
      <c r="AZ582" t="s">
        <v>74</v>
      </c>
      <c r="BA582" t="s">
        <v>74</v>
      </c>
      <c r="BB582">
        <v>276</v>
      </c>
      <c r="BC582">
        <v>304</v>
      </c>
      <c r="BD582" t="s">
        <v>74</v>
      </c>
      <c r="BE582" t="s">
        <v>9386</v>
      </c>
      <c r="BF582" t="str">
        <f>HYPERLINK("http://dx.doi.org/10.1111/j.1365-3113.2006.00360.x","http://dx.doi.org/10.1111/j.1365-3113.2006.00360.x")</f>
        <v>http://dx.doi.org/10.1111/j.1365-3113.2006.00360.x</v>
      </c>
      <c r="BG582" t="s">
        <v>74</v>
      </c>
      <c r="BH582" t="s">
        <v>74</v>
      </c>
      <c r="BI582">
        <v>29</v>
      </c>
      <c r="BJ582" t="s">
        <v>9387</v>
      </c>
      <c r="BK582" t="s">
        <v>98</v>
      </c>
      <c r="BL582" t="s">
        <v>9387</v>
      </c>
      <c r="BM582" t="s">
        <v>9388</v>
      </c>
      <c r="BN582" t="s">
        <v>74</v>
      </c>
      <c r="BO582" t="s">
        <v>154</v>
      </c>
      <c r="BP582" t="s">
        <v>74</v>
      </c>
      <c r="BQ582" t="s">
        <v>74</v>
      </c>
      <c r="BR582" t="s">
        <v>101</v>
      </c>
      <c r="BS582" t="s">
        <v>9389</v>
      </c>
      <c r="BT582" t="str">
        <f>HYPERLINK("https%3A%2F%2Fwww.webofscience.com%2Fwos%2Fwoscc%2Ffull-record%2FWOS:000245745800005","View Full Record in Web of Science")</f>
        <v>View Full Record in Web of Science</v>
      </c>
    </row>
    <row r="583" spans="1:72" x14ac:dyDescent="0.15">
      <c r="A583" t="s">
        <v>72</v>
      </c>
      <c r="B583" t="s">
        <v>9390</v>
      </c>
      <c r="C583" t="s">
        <v>74</v>
      </c>
      <c r="D583" t="s">
        <v>74</v>
      </c>
      <c r="E583" t="s">
        <v>74</v>
      </c>
      <c r="F583" t="s">
        <v>9391</v>
      </c>
      <c r="G583" t="s">
        <v>74</v>
      </c>
      <c r="H583" t="s">
        <v>74</v>
      </c>
      <c r="I583" t="s">
        <v>9392</v>
      </c>
      <c r="J583" t="s">
        <v>9393</v>
      </c>
      <c r="K583" t="s">
        <v>74</v>
      </c>
      <c r="L583" t="s">
        <v>74</v>
      </c>
      <c r="M583" t="s">
        <v>78</v>
      </c>
      <c r="N583" t="s">
        <v>514</v>
      </c>
      <c r="O583" t="s">
        <v>9394</v>
      </c>
      <c r="P583" t="s">
        <v>9395</v>
      </c>
      <c r="Q583" t="s">
        <v>9396</v>
      </c>
      <c r="R583" t="s">
        <v>74</v>
      </c>
      <c r="S583" t="s">
        <v>74</v>
      </c>
      <c r="T583" t="s">
        <v>74</v>
      </c>
      <c r="U583" t="s">
        <v>9397</v>
      </c>
      <c r="V583" t="s">
        <v>9398</v>
      </c>
      <c r="W583" t="s">
        <v>9399</v>
      </c>
      <c r="X583" t="s">
        <v>9400</v>
      </c>
      <c r="Y583" t="s">
        <v>9401</v>
      </c>
      <c r="Z583" t="s">
        <v>9402</v>
      </c>
      <c r="AA583" t="s">
        <v>9403</v>
      </c>
      <c r="AB583" t="s">
        <v>9404</v>
      </c>
      <c r="AC583" t="s">
        <v>74</v>
      </c>
      <c r="AD583" t="s">
        <v>74</v>
      </c>
      <c r="AE583" t="s">
        <v>74</v>
      </c>
      <c r="AF583" t="s">
        <v>74</v>
      </c>
      <c r="AG583">
        <v>29</v>
      </c>
      <c r="AH583">
        <v>45</v>
      </c>
      <c r="AI583">
        <v>52</v>
      </c>
      <c r="AJ583">
        <v>3</v>
      </c>
      <c r="AK583">
        <v>68</v>
      </c>
      <c r="AL583" t="s">
        <v>1225</v>
      </c>
      <c r="AM583" t="s">
        <v>1226</v>
      </c>
      <c r="AN583" t="s">
        <v>1227</v>
      </c>
      <c r="AO583" t="s">
        <v>9405</v>
      </c>
      <c r="AP583" t="s">
        <v>74</v>
      </c>
      <c r="AQ583" t="s">
        <v>74</v>
      </c>
      <c r="AR583" t="s">
        <v>9406</v>
      </c>
      <c r="AS583" t="s">
        <v>9407</v>
      </c>
      <c r="AT583" t="s">
        <v>8354</v>
      </c>
      <c r="AU583">
        <v>2007</v>
      </c>
      <c r="AV583">
        <v>59</v>
      </c>
      <c r="AW583">
        <v>2</v>
      </c>
      <c r="AX583" t="s">
        <v>74</v>
      </c>
      <c r="AY583" t="s">
        <v>74</v>
      </c>
      <c r="AZ583" t="s">
        <v>74</v>
      </c>
      <c r="BA583" t="s">
        <v>74</v>
      </c>
      <c r="BB583">
        <v>191</v>
      </c>
      <c r="BC583">
        <v>198</v>
      </c>
      <c r="BD583" t="s">
        <v>74</v>
      </c>
      <c r="BE583" t="s">
        <v>9408</v>
      </c>
      <c r="BF583" t="str">
        <f>HYPERLINK("http://dx.doi.org/10.1111/j.1600-0889.2006.00241.x","http://dx.doi.org/10.1111/j.1600-0889.2006.00241.x")</f>
        <v>http://dx.doi.org/10.1111/j.1600-0889.2006.00241.x</v>
      </c>
      <c r="BG583" t="s">
        <v>74</v>
      </c>
      <c r="BH583" t="s">
        <v>74</v>
      </c>
      <c r="BI583">
        <v>8</v>
      </c>
      <c r="BJ583" t="s">
        <v>435</v>
      </c>
      <c r="BK583" t="s">
        <v>535</v>
      </c>
      <c r="BL583" t="s">
        <v>435</v>
      </c>
      <c r="BM583" t="s">
        <v>9409</v>
      </c>
      <c r="BN583" t="s">
        <v>74</v>
      </c>
      <c r="BO583" t="s">
        <v>74</v>
      </c>
      <c r="BP583" t="s">
        <v>74</v>
      </c>
      <c r="BQ583" t="s">
        <v>74</v>
      </c>
      <c r="BR583" t="s">
        <v>101</v>
      </c>
      <c r="BS583" t="s">
        <v>9410</v>
      </c>
      <c r="BT583" t="str">
        <f>HYPERLINK("https%3A%2F%2Fwww.webofscience.com%2Fwos%2Fwoscc%2Ffull-record%2FWOS:000245628900004","View Full Record in Web of Science")</f>
        <v>View Full Record in Web of Science</v>
      </c>
    </row>
    <row r="584" spans="1:72" x14ac:dyDescent="0.15">
      <c r="A584" t="s">
        <v>72</v>
      </c>
      <c r="B584" t="s">
        <v>9411</v>
      </c>
      <c r="C584" t="s">
        <v>74</v>
      </c>
      <c r="D584" t="s">
        <v>74</v>
      </c>
      <c r="E584" t="s">
        <v>74</v>
      </c>
      <c r="F584" t="s">
        <v>9412</v>
      </c>
      <c r="G584" t="s">
        <v>74</v>
      </c>
      <c r="H584" t="s">
        <v>74</v>
      </c>
      <c r="I584" t="s">
        <v>9413</v>
      </c>
      <c r="J584" t="s">
        <v>9393</v>
      </c>
      <c r="K584" t="s">
        <v>74</v>
      </c>
      <c r="L584" t="s">
        <v>74</v>
      </c>
      <c r="M584" t="s">
        <v>78</v>
      </c>
      <c r="N584" t="s">
        <v>79</v>
      </c>
      <c r="O584" t="s">
        <v>74</v>
      </c>
      <c r="P584" t="s">
        <v>74</v>
      </c>
      <c r="Q584" t="s">
        <v>74</v>
      </c>
      <c r="R584" t="s">
        <v>74</v>
      </c>
      <c r="S584" t="s">
        <v>74</v>
      </c>
      <c r="T584" t="s">
        <v>74</v>
      </c>
      <c r="U584" t="s">
        <v>9414</v>
      </c>
      <c r="V584" t="s">
        <v>9415</v>
      </c>
      <c r="W584" t="s">
        <v>9416</v>
      </c>
      <c r="X584" t="s">
        <v>9417</v>
      </c>
      <c r="Y584" t="s">
        <v>2757</v>
      </c>
      <c r="Z584" t="s">
        <v>2758</v>
      </c>
      <c r="AA584" t="s">
        <v>9418</v>
      </c>
      <c r="AB584" t="s">
        <v>9419</v>
      </c>
      <c r="AC584" t="s">
        <v>74</v>
      </c>
      <c r="AD584" t="s">
        <v>74</v>
      </c>
      <c r="AE584" t="s">
        <v>74</v>
      </c>
      <c r="AF584" t="s">
        <v>74</v>
      </c>
      <c r="AG584">
        <v>56</v>
      </c>
      <c r="AH584">
        <v>4</v>
      </c>
      <c r="AI584">
        <v>4</v>
      </c>
      <c r="AJ584">
        <v>0</v>
      </c>
      <c r="AK584">
        <v>12</v>
      </c>
      <c r="AL584" t="s">
        <v>3351</v>
      </c>
      <c r="AM584" t="s">
        <v>9420</v>
      </c>
      <c r="AN584" t="s">
        <v>9421</v>
      </c>
      <c r="AO584" t="s">
        <v>9422</v>
      </c>
      <c r="AP584" t="s">
        <v>74</v>
      </c>
      <c r="AQ584" t="s">
        <v>74</v>
      </c>
      <c r="AR584" t="s">
        <v>9406</v>
      </c>
      <c r="AS584" t="s">
        <v>9407</v>
      </c>
      <c r="AT584" t="s">
        <v>8354</v>
      </c>
      <c r="AU584">
        <v>2007</v>
      </c>
      <c r="AV584">
        <v>59</v>
      </c>
      <c r="AW584">
        <v>2</v>
      </c>
      <c r="AX584" t="s">
        <v>74</v>
      </c>
      <c r="AY584" t="s">
        <v>74</v>
      </c>
      <c r="AZ584" t="s">
        <v>74</v>
      </c>
      <c r="BA584" t="s">
        <v>74</v>
      </c>
      <c r="BB584">
        <v>326</v>
      </c>
      <c r="BC584">
        <v>335</v>
      </c>
      <c r="BD584" t="s">
        <v>74</v>
      </c>
      <c r="BE584" t="s">
        <v>9423</v>
      </c>
      <c r="BF584" t="str">
        <f>HYPERLINK("http://dx.doi.org/10.1111/j.1600-0889.2007.00272.x","http://dx.doi.org/10.1111/j.1600-0889.2007.00272.x")</f>
        <v>http://dx.doi.org/10.1111/j.1600-0889.2007.00272.x</v>
      </c>
      <c r="BG584" t="s">
        <v>74</v>
      </c>
      <c r="BH584" t="s">
        <v>74</v>
      </c>
      <c r="BI584">
        <v>10</v>
      </c>
      <c r="BJ584" t="s">
        <v>435</v>
      </c>
      <c r="BK584" t="s">
        <v>98</v>
      </c>
      <c r="BL584" t="s">
        <v>435</v>
      </c>
      <c r="BM584" t="s">
        <v>9409</v>
      </c>
      <c r="BN584" t="s">
        <v>74</v>
      </c>
      <c r="BO584" t="s">
        <v>74</v>
      </c>
      <c r="BP584" t="s">
        <v>74</v>
      </c>
      <c r="BQ584" t="s">
        <v>74</v>
      </c>
      <c r="BR584" t="s">
        <v>101</v>
      </c>
      <c r="BS584" t="s">
        <v>9424</v>
      </c>
      <c r="BT584" t="str">
        <f>HYPERLINK("https%3A%2F%2Fwww.webofscience.com%2Fwos%2Fwoscc%2Ffull-record%2FWOS:000245628900016","View Full Record in Web of Science")</f>
        <v>View Full Record in Web of Science</v>
      </c>
    </row>
    <row r="585" spans="1:72" x14ac:dyDescent="0.15">
      <c r="A585" t="s">
        <v>72</v>
      </c>
      <c r="B585" t="s">
        <v>9425</v>
      </c>
      <c r="C585" t="s">
        <v>74</v>
      </c>
      <c r="D585" t="s">
        <v>74</v>
      </c>
      <c r="E585" t="s">
        <v>74</v>
      </c>
      <c r="F585" t="s">
        <v>9426</v>
      </c>
      <c r="G585" t="s">
        <v>74</v>
      </c>
      <c r="H585" t="s">
        <v>74</v>
      </c>
      <c r="I585" t="s">
        <v>9427</v>
      </c>
      <c r="J585" t="s">
        <v>9428</v>
      </c>
      <c r="K585" t="s">
        <v>74</v>
      </c>
      <c r="L585" t="s">
        <v>74</v>
      </c>
      <c r="M585" t="s">
        <v>78</v>
      </c>
      <c r="N585" t="s">
        <v>79</v>
      </c>
      <c r="O585" t="s">
        <v>74</v>
      </c>
      <c r="P585" t="s">
        <v>74</v>
      </c>
      <c r="Q585" t="s">
        <v>74</v>
      </c>
      <c r="R585" t="s">
        <v>74</v>
      </c>
      <c r="S585" t="s">
        <v>74</v>
      </c>
      <c r="T585" t="s">
        <v>9429</v>
      </c>
      <c r="U585" t="s">
        <v>9430</v>
      </c>
      <c r="V585" t="s">
        <v>9431</v>
      </c>
      <c r="W585" t="s">
        <v>9432</v>
      </c>
      <c r="X585" t="s">
        <v>9433</v>
      </c>
      <c r="Y585" t="s">
        <v>9434</v>
      </c>
      <c r="Z585" t="s">
        <v>9435</v>
      </c>
      <c r="AA585" t="s">
        <v>74</v>
      </c>
      <c r="AB585" t="s">
        <v>74</v>
      </c>
      <c r="AC585" t="s">
        <v>74</v>
      </c>
      <c r="AD585" t="s">
        <v>74</v>
      </c>
      <c r="AE585" t="s">
        <v>74</v>
      </c>
      <c r="AF585" t="s">
        <v>74</v>
      </c>
      <c r="AG585">
        <v>28</v>
      </c>
      <c r="AH585">
        <v>10</v>
      </c>
      <c r="AI585">
        <v>11</v>
      </c>
      <c r="AJ585">
        <v>0</v>
      </c>
      <c r="AK585">
        <v>2</v>
      </c>
      <c r="AL585" t="s">
        <v>9436</v>
      </c>
      <c r="AM585" t="s">
        <v>9437</v>
      </c>
      <c r="AN585" t="s">
        <v>9438</v>
      </c>
      <c r="AO585" t="s">
        <v>9439</v>
      </c>
      <c r="AP585" t="s">
        <v>9440</v>
      </c>
      <c r="AQ585" t="s">
        <v>74</v>
      </c>
      <c r="AR585" t="s">
        <v>9428</v>
      </c>
      <c r="AS585" t="s">
        <v>9441</v>
      </c>
      <c r="AT585" t="s">
        <v>9442</v>
      </c>
      <c r="AU585">
        <v>2007</v>
      </c>
      <c r="AV585">
        <v>44</v>
      </c>
      <c r="AW585">
        <v>1</v>
      </c>
      <c r="AX585" t="s">
        <v>74</v>
      </c>
      <c r="AY585" t="s">
        <v>74</v>
      </c>
      <c r="AZ585" t="s">
        <v>74</v>
      </c>
      <c r="BA585" t="s">
        <v>74</v>
      </c>
      <c r="BB585">
        <v>223</v>
      </c>
      <c r="BC585">
        <v>230</v>
      </c>
      <c r="BD585" t="s">
        <v>74</v>
      </c>
      <c r="BE585" t="s">
        <v>74</v>
      </c>
      <c r="BF585" t="s">
        <v>74</v>
      </c>
      <c r="BG585" t="s">
        <v>74</v>
      </c>
      <c r="BH585" t="s">
        <v>74</v>
      </c>
      <c r="BI585">
        <v>8</v>
      </c>
      <c r="BJ585" t="s">
        <v>7462</v>
      </c>
      <c r="BK585" t="s">
        <v>98</v>
      </c>
      <c r="BL585" t="s">
        <v>7462</v>
      </c>
      <c r="BM585" t="s">
        <v>9443</v>
      </c>
      <c r="BN585" t="s">
        <v>74</v>
      </c>
      <c r="BO585" t="s">
        <v>74</v>
      </c>
      <c r="BP585" t="s">
        <v>74</v>
      </c>
      <c r="BQ585" t="s">
        <v>74</v>
      </c>
      <c r="BR585" t="s">
        <v>101</v>
      </c>
      <c r="BS585" t="s">
        <v>9444</v>
      </c>
      <c r="BT585" t="str">
        <f>HYPERLINK("https%3A%2F%2Fwww.webofscience.com%2Fwos%2Fwoscc%2Ffull-record%2FWOS:000247336300017","View Full Record in Web of Science")</f>
        <v>View Full Record in Web of Science</v>
      </c>
    </row>
    <row r="586" spans="1:72" x14ac:dyDescent="0.15">
      <c r="A586" t="s">
        <v>72</v>
      </c>
      <c r="B586" t="s">
        <v>9445</v>
      </c>
      <c r="C586" t="s">
        <v>74</v>
      </c>
      <c r="D586" t="s">
        <v>74</v>
      </c>
      <c r="E586" t="s">
        <v>74</v>
      </c>
      <c r="F586" t="s">
        <v>9446</v>
      </c>
      <c r="G586" t="s">
        <v>74</v>
      </c>
      <c r="H586" t="s">
        <v>74</v>
      </c>
      <c r="I586" t="s">
        <v>9447</v>
      </c>
      <c r="J586" t="s">
        <v>2957</v>
      </c>
      <c r="K586" t="s">
        <v>74</v>
      </c>
      <c r="L586" t="s">
        <v>74</v>
      </c>
      <c r="M586" t="s">
        <v>78</v>
      </c>
      <c r="N586" t="s">
        <v>79</v>
      </c>
      <c r="O586" t="s">
        <v>74</v>
      </c>
      <c r="P586" t="s">
        <v>74</v>
      </c>
      <c r="Q586" t="s">
        <v>74</v>
      </c>
      <c r="R586" t="s">
        <v>74</v>
      </c>
      <c r="S586" t="s">
        <v>74</v>
      </c>
      <c r="T586" t="s">
        <v>74</v>
      </c>
      <c r="U586" t="s">
        <v>9448</v>
      </c>
      <c r="V586" t="s">
        <v>9449</v>
      </c>
      <c r="W586" t="s">
        <v>9450</v>
      </c>
      <c r="X586" t="s">
        <v>9451</v>
      </c>
      <c r="Y586" t="s">
        <v>9452</v>
      </c>
      <c r="Z586" t="s">
        <v>9453</v>
      </c>
      <c r="AA586" t="s">
        <v>9454</v>
      </c>
      <c r="AB586" t="s">
        <v>9455</v>
      </c>
      <c r="AC586" t="s">
        <v>9456</v>
      </c>
      <c r="AD586" t="s">
        <v>140</v>
      </c>
      <c r="AE586" t="s">
        <v>74</v>
      </c>
      <c r="AF586" t="s">
        <v>74</v>
      </c>
      <c r="AG586">
        <v>42</v>
      </c>
      <c r="AH586">
        <v>21</v>
      </c>
      <c r="AI586">
        <v>26</v>
      </c>
      <c r="AJ586">
        <v>0</v>
      </c>
      <c r="AK586">
        <v>21</v>
      </c>
      <c r="AL586" t="s">
        <v>141</v>
      </c>
      <c r="AM586" t="s">
        <v>142</v>
      </c>
      <c r="AN586" t="s">
        <v>143</v>
      </c>
      <c r="AO586" t="s">
        <v>2966</v>
      </c>
      <c r="AP586" t="s">
        <v>2967</v>
      </c>
      <c r="AQ586" t="s">
        <v>74</v>
      </c>
      <c r="AR586" t="s">
        <v>2968</v>
      </c>
      <c r="AS586" t="s">
        <v>2969</v>
      </c>
      <c r="AT586" t="s">
        <v>9442</v>
      </c>
      <c r="AU586">
        <v>2007</v>
      </c>
      <c r="AV586">
        <v>112</v>
      </c>
      <c r="AW586" t="s">
        <v>9457</v>
      </c>
      <c r="AX586" t="s">
        <v>74</v>
      </c>
      <c r="AY586" t="s">
        <v>74</v>
      </c>
      <c r="AZ586" t="s">
        <v>74</v>
      </c>
      <c r="BA586" t="s">
        <v>74</v>
      </c>
      <c r="BB586" t="s">
        <v>74</v>
      </c>
      <c r="BC586" t="s">
        <v>74</v>
      </c>
      <c r="BD586" t="s">
        <v>9458</v>
      </c>
      <c r="BE586" t="s">
        <v>9459</v>
      </c>
      <c r="BF586" t="str">
        <f>HYPERLINK("http://dx.doi.org/10.1029/2006JF000609","http://dx.doi.org/10.1029/2006JF000609")</f>
        <v>http://dx.doi.org/10.1029/2006JF000609</v>
      </c>
      <c r="BG586" t="s">
        <v>74</v>
      </c>
      <c r="BH586" t="s">
        <v>74</v>
      </c>
      <c r="BI586">
        <v>11</v>
      </c>
      <c r="BJ586" t="s">
        <v>151</v>
      </c>
      <c r="BK586" t="s">
        <v>98</v>
      </c>
      <c r="BL586" t="s">
        <v>152</v>
      </c>
      <c r="BM586" t="s">
        <v>9460</v>
      </c>
      <c r="BN586" t="s">
        <v>74</v>
      </c>
      <c r="BO586" t="s">
        <v>154</v>
      </c>
      <c r="BP586" t="s">
        <v>74</v>
      </c>
      <c r="BQ586" t="s">
        <v>74</v>
      </c>
      <c r="BR586" t="s">
        <v>101</v>
      </c>
      <c r="BS586" t="s">
        <v>9461</v>
      </c>
      <c r="BT586" t="str">
        <f>HYPERLINK("https%3A%2F%2Fwww.webofscience.com%2Fwos%2Fwoscc%2Ffull-record%2FWOS:000245554200001","View Full Record in Web of Science")</f>
        <v>View Full Record in Web of Science</v>
      </c>
    </row>
    <row r="587" spans="1:72" x14ac:dyDescent="0.15">
      <c r="A587" t="s">
        <v>72</v>
      </c>
      <c r="B587" t="s">
        <v>9462</v>
      </c>
      <c r="C587" t="s">
        <v>74</v>
      </c>
      <c r="D587" t="s">
        <v>74</v>
      </c>
      <c r="E587" t="s">
        <v>74</v>
      </c>
      <c r="F587" t="s">
        <v>9463</v>
      </c>
      <c r="G587" t="s">
        <v>74</v>
      </c>
      <c r="H587" t="s">
        <v>74</v>
      </c>
      <c r="I587" t="s">
        <v>9464</v>
      </c>
      <c r="J587" t="s">
        <v>309</v>
      </c>
      <c r="K587" t="s">
        <v>74</v>
      </c>
      <c r="L587" t="s">
        <v>74</v>
      </c>
      <c r="M587" t="s">
        <v>78</v>
      </c>
      <c r="N587" t="s">
        <v>79</v>
      </c>
      <c r="O587" t="s">
        <v>74</v>
      </c>
      <c r="P587" t="s">
        <v>74</v>
      </c>
      <c r="Q587" t="s">
        <v>74</v>
      </c>
      <c r="R587" t="s">
        <v>74</v>
      </c>
      <c r="S587" t="s">
        <v>74</v>
      </c>
      <c r="T587" t="s">
        <v>74</v>
      </c>
      <c r="U587" t="s">
        <v>9465</v>
      </c>
      <c r="V587" t="s">
        <v>9466</v>
      </c>
      <c r="W587" t="s">
        <v>9467</v>
      </c>
      <c r="X587" t="s">
        <v>9468</v>
      </c>
      <c r="Y587" t="s">
        <v>9469</v>
      </c>
      <c r="Z587" t="s">
        <v>9470</v>
      </c>
      <c r="AA587" t="s">
        <v>9471</v>
      </c>
      <c r="AB587" t="s">
        <v>74</v>
      </c>
      <c r="AC587" t="s">
        <v>9472</v>
      </c>
      <c r="AD587" t="s">
        <v>9473</v>
      </c>
      <c r="AE587" t="s">
        <v>74</v>
      </c>
      <c r="AF587" t="s">
        <v>74</v>
      </c>
      <c r="AG587">
        <v>25</v>
      </c>
      <c r="AH587">
        <v>155</v>
      </c>
      <c r="AI587">
        <v>175</v>
      </c>
      <c r="AJ587">
        <v>0</v>
      </c>
      <c r="AK587">
        <v>27</v>
      </c>
      <c r="AL587" t="s">
        <v>318</v>
      </c>
      <c r="AM587" t="s">
        <v>142</v>
      </c>
      <c r="AN587" t="s">
        <v>319</v>
      </c>
      <c r="AO587" t="s">
        <v>320</v>
      </c>
      <c r="AP587" t="s">
        <v>628</v>
      </c>
      <c r="AQ587" t="s">
        <v>74</v>
      </c>
      <c r="AR587" t="s">
        <v>309</v>
      </c>
      <c r="AS587" t="s">
        <v>321</v>
      </c>
      <c r="AT587" t="s">
        <v>9442</v>
      </c>
      <c r="AU587">
        <v>2007</v>
      </c>
      <c r="AV587">
        <v>315</v>
      </c>
      <c r="AW587">
        <v>5820</v>
      </c>
      <c r="AX587" t="s">
        <v>74</v>
      </c>
      <c r="AY587" t="s">
        <v>74</v>
      </c>
      <c r="AZ587" t="s">
        <v>74</v>
      </c>
      <c r="BA587" t="s">
        <v>74</v>
      </c>
      <c r="BB587">
        <v>1838</v>
      </c>
      <c r="BC587">
        <v>1841</v>
      </c>
      <c r="BD587" t="s">
        <v>74</v>
      </c>
      <c r="BE587" t="s">
        <v>9474</v>
      </c>
      <c r="BF587" t="str">
        <f>HYPERLINK("http://dx.doi.org/10.1126/science.1138396","http://dx.doi.org/10.1126/science.1138396")</f>
        <v>http://dx.doi.org/10.1126/science.1138396</v>
      </c>
      <c r="BG587" t="s">
        <v>74</v>
      </c>
      <c r="BH587" t="s">
        <v>74</v>
      </c>
      <c r="BI587">
        <v>4</v>
      </c>
      <c r="BJ587" t="s">
        <v>241</v>
      </c>
      <c r="BK587" t="s">
        <v>98</v>
      </c>
      <c r="BL587" t="s">
        <v>242</v>
      </c>
      <c r="BM587" t="s">
        <v>9475</v>
      </c>
      <c r="BN587">
        <v>17332377</v>
      </c>
      <c r="BO587" t="s">
        <v>154</v>
      </c>
      <c r="BP587" t="s">
        <v>74</v>
      </c>
      <c r="BQ587" t="s">
        <v>74</v>
      </c>
      <c r="BR587" t="s">
        <v>101</v>
      </c>
      <c r="BS587" t="s">
        <v>9476</v>
      </c>
      <c r="BT587" t="str">
        <f>HYPERLINK("https%3A%2F%2Fwww.webofscience.com%2Fwos%2Fwoscc%2Ffull-record%2FWOS:000245280100041","View Full Record in Web of Science")</f>
        <v>View Full Record in Web of Science</v>
      </c>
    </row>
    <row r="588" spans="1:72" x14ac:dyDescent="0.15">
      <c r="A588" t="s">
        <v>72</v>
      </c>
      <c r="B588" t="s">
        <v>9477</v>
      </c>
      <c r="C588" t="s">
        <v>74</v>
      </c>
      <c r="D588" t="s">
        <v>74</v>
      </c>
      <c r="E588" t="s">
        <v>74</v>
      </c>
      <c r="F588" t="s">
        <v>9478</v>
      </c>
      <c r="G588" t="s">
        <v>74</v>
      </c>
      <c r="H588" t="s">
        <v>74</v>
      </c>
      <c r="I588" t="s">
        <v>9479</v>
      </c>
      <c r="J588" t="s">
        <v>9480</v>
      </c>
      <c r="K588" t="s">
        <v>74</v>
      </c>
      <c r="L588" t="s">
        <v>74</v>
      </c>
      <c r="M588" t="s">
        <v>78</v>
      </c>
      <c r="N588" t="s">
        <v>52</v>
      </c>
      <c r="O588" t="s">
        <v>9481</v>
      </c>
      <c r="P588" t="s">
        <v>9482</v>
      </c>
      <c r="Q588" t="s">
        <v>9483</v>
      </c>
      <c r="R588" t="s">
        <v>74</v>
      </c>
      <c r="S588" t="s">
        <v>74</v>
      </c>
      <c r="T588" t="s">
        <v>74</v>
      </c>
      <c r="U588" t="s">
        <v>74</v>
      </c>
      <c r="V588" t="s">
        <v>74</v>
      </c>
      <c r="W588" t="s">
        <v>9484</v>
      </c>
      <c r="X588" t="s">
        <v>9485</v>
      </c>
      <c r="Y588" t="s">
        <v>74</v>
      </c>
      <c r="Z588" t="s">
        <v>9486</v>
      </c>
      <c r="AA588" t="s">
        <v>74</v>
      </c>
      <c r="AB588" t="s">
        <v>74</v>
      </c>
      <c r="AC588" t="s">
        <v>74</v>
      </c>
      <c r="AD588" t="s">
        <v>74</v>
      </c>
      <c r="AE588" t="s">
        <v>74</v>
      </c>
      <c r="AF588" t="s">
        <v>74</v>
      </c>
      <c r="AG588">
        <v>0</v>
      </c>
      <c r="AH588">
        <v>0</v>
      </c>
      <c r="AI588">
        <v>0</v>
      </c>
      <c r="AJ588">
        <v>0</v>
      </c>
      <c r="AK588">
        <v>4</v>
      </c>
      <c r="AL588" t="s">
        <v>337</v>
      </c>
      <c r="AM588" t="s">
        <v>142</v>
      </c>
      <c r="AN588" t="s">
        <v>338</v>
      </c>
      <c r="AO588" t="s">
        <v>9487</v>
      </c>
      <c r="AP588" t="s">
        <v>74</v>
      </c>
      <c r="AQ588" t="s">
        <v>74</v>
      </c>
      <c r="AR588" t="s">
        <v>9488</v>
      </c>
      <c r="AS588" t="s">
        <v>9489</v>
      </c>
      <c r="AT588" t="s">
        <v>9490</v>
      </c>
      <c r="AU588">
        <v>2007</v>
      </c>
      <c r="AV588">
        <v>233</v>
      </c>
      <c r="AW588" t="s">
        <v>74</v>
      </c>
      <c r="AX588" t="s">
        <v>74</v>
      </c>
      <c r="AY588" t="s">
        <v>74</v>
      </c>
      <c r="AZ588" t="s">
        <v>74</v>
      </c>
      <c r="BA588" t="s">
        <v>9491</v>
      </c>
      <c r="BB588">
        <v>599</v>
      </c>
      <c r="BC588">
        <v>599</v>
      </c>
      <c r="BD588" t="s">
        <v>74</v>
      </c>
      <c r="BE588" t="s">
        <v>74</v>
      </c>
      <c r="BF588" t="s">
        <v>74</v>
      </c>
      <c r="BG588" t="s">
        <v>74</v>
      </c>
      <c r="BH588" t="s">
        <v>74</v>
      </c>
      <c r="BI588">
        <v>1</v>
      </c>
      <c r="BJ588" t="s">
        <v>6484</v>
      </c>
      <c r="BK588" t="s">
        <v>535</v>
      </c>
      <c r="BL588" t="s">
        <v>6486</v>
      </c>
      <c r="BM588" t="s">
        <v>9492</v>
      </c>
      <c r="BN588" t="s">
        <v>74</v>
      </c>
      <c r="BO588" t="s">
        <v>74</v>
      </c>
      <c r="BP588" t="s">
        <v>74</v>
      </c>
      <c r="BQ588" t="s">
        <v>74</v>
      </c>
      <c r="BR588" t="s">
        <v>101</v>
      </c>
      <c r="BS588" t="s">
        <v>9493</v>
      </c>
      <c r="BT588" t="str">
        <f>HYPERLINK("https%3A%2F%2Fwww.webofscience.com%2Fwos%2Fwoscc%2Ffull-record%2FWOS:000207722804597","View Full Record in Web of Science")</f>
        <v>View Full Record in Web of Science</v>
      </c>
    </row>
    <row r="589" spans="1:72" x14ac:dyDescent="0.15">
      <c r="A589" t="s">
        <v>72</v>
      </c>
      <c r="B589" t="s">
        <v>9494</v>
      </c>
      <c r="C589" t="s">
        <v>74</v>
      </c>
      <c r="D589" t="s">
        <v>74</v>
      </c>
      <c r="E589" t="s">
        <v>74</v>
      </c>
      <c r="F589" t="s">
        <v>9495</v>
      </c>
      <c r="G589" t="s">
        <v>74</v>
      </c>
      <c r="H589" t="s">
        <v>74</v>
      </c>
      <c r="I589" t="s">
        <v>9496</v>
      </c>
      <c r="J589" t="s">
        <v>130</v>
      </c>
      <c r="K589" t="s">
        <v>74</v>
      </c>
      <c r="L589" t="s">
        <v>74</v>
      </c>
      <c r="M589" t="s">
        <v>78</v>
      </c>
      <c r="N589" t="s">
        <v>79</v>
      </c>
      <c r="O589" t="s">
        <v>74</v>
      </c>
      <c r="P589" t="s">
        <v>74</v>
      </c>
      <c r="Q589" t="s">
        <v>74</v>
      </c>
      <c r="R589" t="s">
        <v>74</v>
      </c>
      <c r="S589" t="s">
        <v>74</v>
      </c>
      <c r="T589" t="s">
        <v>74</v>
      </c>
      <c r="U589" t="s">
        <v>9497</v>
      </c>
      <c r="V589" t="s">
        <v>9498</v>
      </c>
      <c r="W589" t="s">
        <v>9499</v>
      </c>
      <c r="X589" t="s">
        <v>1988</v>
      </c>
      <c r="Y589" t="s">
        <v>9500</v>
      </c>
      <c r="Z589" t="s">
        <v>9501</v>
      </c>
      <c r="AA589" t="s">
        <v>74</v>
      </c>
      <c r="AB589" t="s">
        <v>9502</v>
      </c>
      <c r="AC589" t="s">
        <v>139</v>
      </c>
      <c r="AD589" t="s">
        <v>140</v>
      </c>
      <c r="AE589" t="s">
        <v>74</v>
      </c>
      <c r="AF589" t="s">
        <v>74</v>
      </c>
      <c r="AG589">
        <v>10</v>
      </c>
      <c r="AH589">
        <v>6</v>
      </c>
      <c r="AI589">
        <v>7</v>
      </c>
      <c r="AJ589">
        <v>0</v>
      </c>
      <c r="AK589">
        <v>0</v>
      </c>
      <c r="AL589" t="s">
        <v>141</v>
      </c>
      <c r="AM589" t="s">
        <v>142</v>
      </c>
      <c r="AN589" t="s">
        <v>143</v>
      </c>
      <c r="AO589" t="s">
        <v>144</v>
      </c>
      <c r="AP589" t="s">
        <v>145</v>
      </c>
      <c r="AQ589" t="s">
        <v>74</v>
      </c>
      <c r="AR589" t="s">
        <v>146</v>
      </c>
      <c r="AS589" t="s">
        <v>147</v>
      </c>
      <c r="AT589" t="s">
        <v>9503</v>
      </c>
      <c r="AU589">
        <v>2007</v>
      </c>
      <c r="AV589">
        <v>34</v>
      </c>
      <c r="AW589">
        <v>6</v>
      </c>
      <c r="AX589" t="s">
        <v>74</v>
      </c>
      <c r="AY589" t="s">
        <v>74</v>
      </c>
      <c r="AZ589" t="s">
        <v>74</v>
      </c>
      <c r="BA589" t="s">
        <v>74</v>
      </c>
      <c r="BB589" t="s">
        <v>74</v>
      </c>
      <c r="BC589" t="s">
        <v>74</v>
      </c>
      <c r="BD589" t="s">
        <v>9504</v>
      </c>
      <c r="BE589" t="s">
        <v>9505</v>
      </c>
      <c r="BF589" t="str">
        <f>HYPERLINK("http://dx.doi.org/10.1029/2006GL028563","http://dx.doi.org/10.1029/2006GL028563")</f>
        <v>http://dx.doi.org/10.1029/2006GL028563</v>
      </c>
      <c r="BG589" t="s">
        <v>74</v>
      </c>
      <c r="BH589" t="s">
        <v>74</v>
      </c>
      <c r="BI589">
        <v>4</v>
      </c>
      <c r="BJ589" t="s">
        <v>151</v>
      </c>
      <c r="BK589" t="s">
        <v>98</v>
      </c>
      <c r="BL589" t="s">
        <v>152</v>
      </c>
      <c r="BM589" t="s">
        <v>9506</v>
      </c>
      <c r="BN589" t="s">
        <v>74</v>
      </c>
      <c r="BO589" t="s">
        <v>154</v>
      </c>
      <c r="BP589" t="s">
        <v>74</v>
      </c>
      <c r="BQ589" t="s">
        <v>74</v>
      </c>
      <c r="BR589" t="s">
        <v>101</v>
      </c>
      <c r="BS589" t="s">
        <v>9507</v>
      </c>
      <c r="BT589" t="str">
        <f>HYPERLINK("https%3A%2F%2Fwww.webofscience.com%2Fwos%2Fwoscc%2Ffull-record%2FWOS:000245186100003","View Full Record in Web of Science")</f>
        <v>View Full Record in Web of Science</v>
      </c>
    </row>
    <row r="590" spans="1:72" x14ac:dyDescent="0.15">
      <c r="A590" t="s">
        <v>72</v>
      </c>
      <c r="B590" t="s">
        <v>9508</v>
      </c>
      <c r="C590" t="s">
        <v>74</v>
      </c>
      <c r="D590" t="s">
        <v>74</v>
      </c>
      <c r="E590" t="s">
        <v>74</v>
      </c>
      <c r="F590" t="s">
        <v>9509</v>
      </c>
      <c r="G590" t="s">
        <v>74</v>
      </c>
      <c r="H590" t="s">
        <v>74</v>
      </c>
      <c r="I590" t="s">
        <v>9510</v>
      </c>
      <c r="J590" t="s">
        <v>130</v>
      </c>
      <c r="K590" t="s">
        <v>74</v>
      </c>
      <c r="L590" t="s">
        <v>74</v>
      </c>
      <c r="M590" t="s">
        <v>78</v>
      </c>
      <c r="N590" t="s">
        <v>79</v>
      </c>
      <c r="O590" t="s">
        <v>74</v>
      </c>
      <c r="P590" t="s">
        <v>74</v>
      </c>
      <c r="Q590" t="s">
        <v>74</v>
      </c>
      <c r="R590" t="s">
        <v>74</v>
      </c>
      <c r="S590" t="s">
        <v>74</v>
      </c>
      <c r="T590" t="s">
        <v>74</v>
      </c>
      <c r="U590" t="s">
        <v>9511</v>
      </c>
      <c r="V590" t="s">
        <v>9512</v>
      </c>
      <c r="W590" t="s">
        <v>9513</v>
      </c>
      <c r="X590" t="s">
        <v>623</v>
      </c>
      <c r="Y590" t="s">
        <v>9514</v>
      </c>
      <c r="Z590" t="s">
        <v>9515</v>
      </c>
      <c r="AA590" t="s">
        <v>9516</v>
      </c>
      <c r="AB590" t="s">
        <v>2832</v>
      </c>
      <c r="AC590" t="s">
        <v>74</v>
      </c>
      <c r="AD590" t="s">
        <v>74</v>
      </c>
      <c r="AE590" t="s">
        <v>74</v>
      </c>
      <c r="AF590" t="s">
        <v>74</v>
      </c>
      <c r="AG590">
        <v>31</v>
      </c>
      <c r="AH590">
        <v>164</v>
      </c>
      <c r="AI590">
        <v>182</v>
      </c>
      <c r="AJ590">
        <v>1</v>
      </c>
      <c r="AK590">
        <v>34</v>
      </c>
      <c r="AL590" t="s">
        <v>141</v>
      </c>
      <c r="AM590" t="s">
        <v>142</v>
      </c>
      <c r="AN590" t="s">
        <v>143</v>
      </c>
      <c r="AO590" t="s">
        <v>144</v>
      </c>
      <c r="AP590" t="s">
        <v>145</v>
      </c>
      <c r="AQ590" t="s">
        <v>74</v>
      </c>
      <c r="AR590" t="s">
        <v>146</v>
      </c>
      <c r="AS590" t="s">
        <v>147</v>
      </c>
      <c r="AT590" t="s">
        <v>9503</v>
      </c>
      <c r="AU590">
        <v>2007</v>
      </c>
      <c r="AV590">
        <v>34</v>
      </c>
      <c r="AW590">
        <v>6</v>
      </c>
      <c r="AX590" t="s">
        <v>74</v>
      </c>
      <c r="AY590" t="s">
        <v>74</v>
      </c>
      <c r="AZ590" t="s">
        <v>74</v>
      </c>
      <c r="BA590" t="s">
        <v>74</v>
      </c>
      <c r="BB590" t="s">
        <v>74</v>
      </c>
      <c r="BC590" t="s">
        <v>74</v>
      </c>
      <c r="BD590" t="s">
        <v>9517</v>
      </c>
      <c r="BE590" t="s">
        <v>9518</v>
      </c>
      <c r="BF590" t="str">
        <f>HYPERLINK("http://dx.doi.org/10.1029/2006GL028550","http://dx.doi.org/10.1029/2006GL028550")</f>
        <v>http://dx.doi.org/10.1029/2006GL028550</v>
      </c>
      <c r="BG590" t="s">
        <v>74</v>
      </c>
      <c r="BH590" t="s">
        <v>74</v>
      </c>
      <c r="BI590">
        <v>5</v>
      </c>
      <c r="BJ590" t="s">
        <v>151</v>
      </c>
      <c r="BK590" t="s">
        <v>98</v>
      </c>
      <c r="BL590" t="s">
        <v>152</v>
      </c>
      <c r="BM590" t="s">
        <v>9506</v>
      </c>
      <c r="BN590" t="s">
        <v>74</v>
      </c>
      <c r="BO590" t="s">
        <v>154</v>
      </c>
      <c r="BP590" t="s">
        <v>74</v>
      </c>
      <c r="BQ590" t="s">
        <v>74</v>
      </c>
      <c r="BR590" t="s">
        <v>101</v>
      </c>
      <c r="BS590" t="s">
        <v>9519</v>
      </c>
      <c r="BT590" t="str">
        <f>HYPERLINK("https%3A%2F%2Fwww.webofscience.com%2Fwos%2Fwoscc%2Ffull-record%2FWOS:000245186100002","View Full Record in Web of Science")</f>
        <v>View Full Record in Web of Science</v>
      </c>
    </row>
    <row r="591" spans="1:72" x14ac:dyDescent="0.15">
      <c r="A591" t="s">
        <v>72</v>
      </c>
      <c r="B591" t="s">
        <v>9520</v>
      </c>
      <c r="C591" t="s">
        <v>74</v>
      </c>
      <c r="D591" t="s">
        <v>74</v>
      </c>
      <c r="E591" t="s">
        <v>74</v>
      </c>
      <c r="F591" t="s">
        <v>9521</v>
      </c>
      <c r="G591" t="s">
        <v>74</v>
      </c>
      <c r="H591" t="s">
        <v>74</v>
      </c>
      <c r="I591" t="s">
        <v>9522</v>
      </c>
      <c r="J591" t="s">
        <v>9523</v>
      </c>
      <c r="K591" t="s">
        <v>74</v>
      </c>
      <c r="L591" t="s">
        <v>74</v>
      </c>
      <c r="M591" t="s">
        <v>78</v>
      </c>
      <c r="N591" t="s">
        <v>79</v>
      </c>
      <c r="O591" t="s">
        <v>74</v>
      </c>
      <c r="P591" t="s">
        <v>74</v>
      </c>
      <c r="Q591" t="s">
        <v>74</v>
      </c>
      <c r="R591" t="s">
        <v>74</v>
      </c>
      <c r="S591" t="s">
        <v>74</v>
      </c>
      <c r="T591" t="s">
        <v>74</v>
      </c>
      <c r="U591" t="s">
        <v>9524</v>
      </c>
      <c r="V591" t="s">
        <v>9525</v>
      </c>
      <c r="W591" t="s">
        <v>9526</v>
      </c>
      <c r="X591" t="s">
        <v>9527</v>
      </c>
      <c r="Y591" t="s">
        <v>9528</v>
      </c>
      <c r="Z591" t="s">
        <v>9529</v>
      </c>
      <c r="AA591" t="s">
        <v>74</v>
      </c>
      <c r="AB591" t="s">
        <v>74</v>
      </c>
      <c r="AC591" t="s">
        <v>8085</v>
      </c>
      <c r="AD591" t="s">
        <v>140</v>
      </c>
      <c r="AE591" t="s">
        <v>74</v>
      </c>
      <c r="AF591" t="s">
        <v>74</v>
      </c>
      <c r="AG591">
        <v>31</v>
      </c>
      <c r="AH591">
        <v>146</v>
      </c>
      <c r="AI591">
        <v>150</v>
      </c>
      <c r="AJ591">
        <v>1</v>
      </c>
      <c r="AK591">
        <v>56</v>
      </c>
      <c r="AL591" t="s">
        <v>9125</v>
      </c>
      <c r="AM591" t="s">
        <v>9126</v>
      </c>
      <c r="AN591" t="s">
        <v>9127</v>
      </c>
      <c r="AO591" t="s">
        <v>9530</v>
      </c>
      <c r="AP591" t="s">
        <v>9531</v>
      </c>
      <c r="AQ591" t="s">
        <v>74</v>
      </c>
      <c r="AR591" t="s">
        <v>9532</v>
      </c>
      <c r="AS591" t="s">
        <v>9533</v>
      </c>
      <c r="AT591" t="s">
        <v>9534</v>
      </c>
      <c r="AU591">
        <v>2007</v>
      </c>
      <c r="AV591">
        <v>98</v>
      </c>
      <c r="AW591">
        <v>12</v>
      </c>
      <c r="AX591" t="s">
        <v>74</v>
      </c>
      <c r="AY591" t="s">
        <v>74</v>
      </c>
      <c r="AZ591" t="s">
        <v>74</v>
      </c>
      <c r="BA591" t="s">
        <v>74</v>
      </c>
      <c r="BB591" t="s">
        <v>74</v>
      </c>
      <c r="BC591" t="s">
        <v>74</v>
      </c>
      <c r="BD591">
        <v>125502</v>
      </c>
      <c r="BE591" t="s">
        <v>9535</v>
      </c>
      <c r="BF591" t="str">
        <f>HYPERLINK("http://dx.doi.org/10.1103/PhysRevLett.98.125502","http://dx.doi.org/10.1103/PhysRevLett.98.125502")</f>
        <v>http://dx.doi.org/10.1103/PhysRevLett.98.125502</v>
      </c>
      <c r="BG591" t="s">
        <v>74</v>
      </c>
      <c r="BH591" t="s">
        <v>74</v>
      </c>
      <c r="BI591">
        <v>4</v>
      </c>
      <c r="BJ591" t="s">
        <v>4082</v>
      </c>
      <c r="BK591" t="s">
        <v>98</v>
      </c>
      <c r="BL591" t="s">
        <v>4084</v>
      </c>
      <c r="BM591" t="s">
        <v>9536</v>
      </c>
      <c r="BN591">
        <v>17501134</v>
      </c>
      <c r="BO591" t="s">
        <v>1249</v>
      </c>
      <c r="BP591" t="s">
        <v>74</v>
      </c>
      <c r="BQ591" t="s">
        <v>74</v>
      </c>
      <c r="BR591" t="s">
        <v>101</v>
      </c>
      <c r="BS591" t="s">
        <v>9537</v>
      </c>
      <c r="BT591" t="str">
        <f>HYPERLINK("https%3A%2F%2Fwww.webofscience.com%2Fwos%2Fwoscc%2Ffull-record%2FWOS:000245135400035","View Full Record in Web of Science")</f>
        <v>View Full Record in Web of Science</v>
      </c>
    </row>
    <row r="592" spans="1:72" x14ac:dyDescent="0.15">
      <c r="A592" t="s">
        <v>72</v>
      </c>
      <c r="B592" t="s">
        <v>9538</v>
      </c>
      <c r="C592" t="s">
        <v>74</v>
      </c>
      <c r="D592" t="s">
        <v>74</v>
      </c>
      <c r="E592" t="s">
        <v>74</v>
      </c>
      <c r="F592" t="s">
        <v>9539</v>
      </c>
      <c r="G592" t="s">
        <v>74</v>
      </c>
      <c r="H592" t="s">
        <v>74</v>
      </c>
      <c r="I592" t="s">
        <v>9540</v>
      </c>
      <c r="J592" t="s">
        <v>1046</v>
      </c>
      <c r="K592" t="s">
        <v>74</v>
      </c>
      <c r="L592" t="s">
        <v>74</v>
      </c>
      <c r="M592" t="s">
        <v>78</v>
      </c>
      <c r="N592" t="s">
        <v>79</v>
      </c>
      <c r="O592" t="s">
        <v>74</v>
      </c>
      <c r="P592" t="s">
        <v>74</v>
      </c>
      <c r="Q592" t="s">
        <v>74</v>
      </c>
      <c r="R592" t="s">
        <v>74</v>
      </c>
      <c r="S592" t="s">
        <v>74</v>
      </c>
      <c r="T592" t="s">
        <v>9541</v>
      </c>
      <c r="U592" t="s">
        <v>9542</v>
      </c>
      <c r="V592" t="s">
        <v>9543</v>
      </c>
      <c r="W592" t="s">
        <v>9499</v>
      </c>
      <c r="X592" t="s">
        <v>1988</v>
      </c>
      <c r="Y592" t="s">
        <v>9544</v>
      </c>
      <c r="Z592" t="s">
        <v>9545</v>
      </c>
      <c r="AA592" t="s">
        <v>74</v>
      </c>
      <c r="AB592" t="s">
        <v>9546</v>
      </c>
      <c r="AC592" t="s">
        <v>9547</v>
      </c>
      <c r="AD592" t="s">
        <v>140</v>
      </c>
      <c r="AE592" t="s">
        <v>74</v>
      </c>
      <c r="AF592" t="s">
        <v>74</v>
      </c>
      <c r="AG592">
        <v>52</v>
      </c>
      <c r="AH592">
        <v>27</v>
      </c>
      <c r="AI592">
        <v>28</v>
      </c>
      <c r="AJ592">
        <v>2</v>
      </c>
      <c r="AK592">
        <v>10</v>
      </c>
      <c r="AL592" t="s">
        <v>141</v>
      </c>
      <c r="AM592" t="s">
        <v>142</v>
      </c>
      <c r="AN592" t="s">
        <v>143</v>
      </c>
      <c r="AO592" t="s">
        <v>74</v>
      </c>
      <c r="AP592" t="s">
        <v>1054</v>
      </c>
      <c r="AQ592" t="s">
        <v>74</v>
      </c>
      <c r="AR592" t="s">
        <v>1055</v>
      </c>
      <c r="AS592" t="s">
        <v>1056</v>
      </c>
      <c r="AT592" t="s">
        <v>9548</v>
      </c>
      <c r="AU592">
        <v>2007</v>
      </c>
      <c r="AV592">
        <v>8</v>
      </c>
      <c r="AW592" t="s">
        <v>74</v>
      </c>
      <c r="AX592" t="s">
        <v>74</v>
      </c>
      <c r="AY592" t="s">
        <v>74</v>
      </c>
      <c r="AZ592" t="s">
        <v>74</v>
      </c>
      <c r="BA592" t="s">
        <v>74</v>
      </c>
      <c r="BB592" t="s">
        <v>74</v>
      </c>
      <c r="BC592" t="s">
        <v>74</v>
      </c>
      <c r="BD592" t="s">
        <v>9549</v>
      </c>
      <c r="BE592" t="s">
        <v>9550</v>
      </c>
      <c r="BF592" t="str">
        <f>HYPERLINK("http://dx.doi.org/10.1029/2006GC001450","http://dx.doi.org/10.1029/2006GC001450")</f>
        <v>http://dx.doi.org/10.1029/2006GC001450</v>
      </c>
      <c r="BG592" t="s">
        <v>74</v>
      </c>
      <c r="BH592" t="s">
        <v>74</v>
      </c>
      <c r="BI592">
        <v>19</v>
      </c>
      <c r="BJ592" t="s">
        <v>688</v>
      </c>
      <c r="BK592" t="s">
        <v>98</v>
      </c>
      <c r="BL592" t="s">
        <v>688</v>
      </c>
      <c r="BM592" t="s">
        <v>9551</v>
      </c>
      <c r="BN592" t="s">
        <v>74</v>
      </c>
      <c r="BO592" t="s">
        <v>154</v>
      </c>
      <c r="BP592" t="s">
        <v>74</v>
      </c>
      <c r="BQ592" t="s">
        <v>74</v>
      </c>
      <c r="BR592" t="s">
        <v>101</v>
      </c>
      <c r="BS592" t="s">
        <v>9552</v>
      </c>
      <c r="BT592" t="str">
        <f>HYPERLINK("https%3A%2F%2Fwww.webofscience.com%2Fwos%2Fwoscc%2Ffull-record%2FWOS:000245015200001","View Full Record in Web of Science")</f>
        <v>View Full Record in Web of Science</v>
      </c>
    </row>
    <row r="593" spans="1:72" x14ac:dyDescent="0.15">
      <c r="A593" t="s">
        <v>72</v>
      </c>
      <c r="B593" t="s">
        <v>9553</v>
      </c>
      <c r="C593" t="s">
        <v>74</v>
      </c>
      <c r="D593" t="s">
        <v>74</v>
      </c>
      <c r="E593" t="s">
        <v>74</v>
      </c>
      <c r="F593" t="s">
        <v>9554</v>
      </c>
      <c r="G593" t="s">
        <v>74</v>
      </c>
      <c r="H593" t="s">
        <v>74</v>
      </c>
      <c r="I593" t="s">
        <v>9555</v>
      </c>
      <c r="J593" t="s">
        <v>1133</v>
      </c>
      <c r="K593" t="s">
        <v>74</v>
      </c>
      <c r="L593" t="s">
        <v>74</v>
      </c>
      <c r="M593" t="s">
        <v>78</v>
      </c>
      <c r="N593" t="s">
        <v>79</v>
      </c>
      <c r="O593" t="s">
        <v>74</v>
      </c>
      <c r="P593" t="s">
        <v>74</v>
      </c>
      <c r="Q593" t="s">
        <v>74</v>
      </c>
      <c r="R593" t="s">
        <v>74</v>
      </c>
      <c r="S593" t="s">
        <v>74</v>
      </c>
      <c r="T593" t="s">
        <v>9556</v>
      </c>
      <c r="U593" t="s">
        <v>9557</v>
      </c>
      <c r="V593" t="s">
        <v>9558</v>
      </c>
      <c r="W593" t="s">
        <v>9559</v>
      </c>
      <c r="X593" t="s">
        <v>9560</v>
      </c>
      <c r="Y593" t="s">
        <v>9561</v>
      </c>
      <c r="Z593" t="s">
        <v>9562</v>
      </c>
      <c r="AA593" t="s">
        <v>74</v>
      </c>
      <c r="AB593" t="s">
        <v>9563</v>
      </c>
      <c r="AC593" t="s">
        <v>74</v>
      </c>
      <c r="AD593" t="s">
        <v>74</v>
      </c>
      <c r="AE593" t="s">
        <v>74</v>
      </c>
      <c r="AF593" t="s">
        <v>74</v>
      </c>
      <c r="AG593">
        <v>68</v>
      </c>
      <c r="AH593">
        <v>52</v>
      </c>
      <c r="AI593">
        <v>54</v>
      </c>
      <c r="AJ593">
        <v>1</v>
      </c>
      <c r="AK593">
        <v>10</v>
      </c>
      <c r="AL593" t="s">
        <v>272</v>
      </c>
      <c r="AM593" t="s">
        <v>273</v>
      </c>
      <c r="AN593" t="s">
        <v>274</v>
      </c>
      <c r="AO593" t="s">
        <v>1144</v>
      </c>
      <c r="AP593" t="s">
        <v>1164</v>
      </c>
      <c r="AQ593" t="s">
        <v>74</v>
      </c>
      <c r="AR593" t="s">
        <v>1145</v>
      </c>
      <c r="AS593" t="s">
        <v>1146</v>
      </c>
      <c r="AT593" t="s">
        <v>9564</v>
      </c>
      <c r="AU593">
        <v>2007</v>
      </c>
      <c r="AV593">
        <v>245</v>
      </c>
      <c r="AW593" t="s">
        <v>686</v>
      </c>
      <c r="AX593" t="s">
        <v>74</v>
      </c>
      <c r="AY593" t="s">
        <v>74</v>
      </c>
      <c r="AZ593" t="s">
        <v>74</v>
      </c>
      <c r="BA593" t="s">
        <v>74</v>
      </c>
      <c r="BB593">
        <v>390</v>
      </c>
      <c r="BC593">
        <v>410</v>
      </c>
      <c r="BD593" t="s">
        <v>74</v>
      </c>
      <c r="BE593" t="s">
        <v>9565</v>
      </c>
      <c r="BF593" t="str">
        <f>HYPERLINK("http://dx.doi.org/10.1016/j.palaeo.2006.09.002","http://dx.doi.org/10.1016/j.palaeo.2006.09.002")</f>
        <v>http://dx.doi.org/10.1016/j.palaeo.2006.09.002</v>
      </c>
      <c r="BG593" t="s">
        <v>74</v>
      </c>
      <c r="BH593" t="s">
        <v>74</v>
      </c>
      <c r="BI593">
        <v>21</v>
      </c>
      <c r="BJ593" t="s">
        <v>1148</v>
      </c>
      <c r="BK593" t="s">
        <v>98</v>
      </c>
      <c r="BL593" t="s">
        <v>1149</v>
      </c>
      <c r="BM593" t="s">
        <v>9566</v>
      </c>
      <c r="BN593" t="s">
        <v>74</v>
      </c>
      <c r="BO593" t="s">
        <v>74</v>
      </c>
      <c r="BP593" t="s">
        <v>74</v>
      </c>
      <c r="BQ593" t="s">
        <v>74</v>
      </c>
      <c r="BR593" t="s">
        <v>101</v>
      </c>
      <c r="BS593" t="s">
        <v>9567</v>
      </c>
      <c r="BT593" t="str">
        <f>HYPERLINK("https%3A%2F%2Fwww.webofscience.com%2Fwos%2Fwoscc%2Ffull-record%2FWOS:000245026900006","View Full Record in Web of Science")</f>
        <v>View Full Record in Web of Science</v>
      </c>
    </row>
    <row r="594" spans="1:72" x14ac:dyDescent="0.15">
      <c r="A594" t="s">
        <v>72</v>
      </c>
      <c r="B594" t="s">
        <v>9568</v>
      </c>
      <c r="C594" t="s">
        <v>74</v>
      </c>
      <c r="D594" t="s">
        <v>74</v>
      </c>
      <c r="E594" t="s">
        <v>74</v>
      </c>
      <c r="F594" t="s">
        <v>9569</v>
      </c>
      <c r="G594" t="s">
        <v>74</v>
      </c>
      <c r="H594" t="s">
        <v>74</v>
      </c>
      <c r="I594" t="s">
        <v>9570</v>
      </c>
      <c r="J594" t="s">
        <v>309</v>
      </c>
      <c r="K594" t="s">
        <v>74</v>
      </c>
      <c r="L594" t="s">
        <v>74</v>
      </c>
      <c r="M594" t="s">
        <v>78</v>
      </c>
      <c r="N594" t="s">
        <v>620</v>
      </c>
      <c r="O594" t="s">
        <v>74</v>
      </c>
      <c r="P594" t="s">
        <v>74</v>
      </c>
      <c r="Q594" t="s">
        <v>74</v>
      </c>
      <c r="R594" t="s">
        <v>74</v>
      </c>
      <c r="S594" t="s">
        <v>74</v>
      </c>
      <c r="T594" t="s">
        <v>74</v>
      </c>
      <c r="U594" t="s">
        <v>9571</v>
      </c>
      <c r="V594" t="s">
        <v>74</v>
      </c>
      <c r="W594" t="s">
        <v>4766</v>
      </c>
      <c r="X594" t="s">
        <v>1988</v>
      </c>
      <c r="Y594" t="s">
        <v>9572</v>
      </c>
      <c r="Z594" t="s">
        <v>9573</v>
      </c>
      <c r="AA594" t="s">
        <v>9574</v>
      </c>
      <c r="AB594" t="s">
        <v>1889</v>
      </c>
      <c r="AC594" t="s">
        <v>9575</v>
      </c>
      <c r="AD594" t="s">
        <v>361</v>
      </c>
      <c r="AE594" t="s">
        <v>74</v>
      </c>
      <c r="AF594" t="s">
        <v>74</v>
      </c>
      <c r="AG594">
        <v>14</v>
      </c>
      <c r="AH594">
        <v>107</v>
      </c>
      <c r="AI594">
        <v>120</v>
      </c>
      <c r="AJ594">
        <v>0</v>
      </c>
      <c r="AK594">
        <v>13</v>
      </c>
      <c r="AL594" t="s">
        <v>318</v>
      </c>
      <c r="AM594" t="s">
        <v>142</v>
      </c>
      <c r="AN594" t="s">
        <v>319</v>
      </c>
      <c r="AO594" t="s">
        <v>320</v>
      </c>
      <c r="AP594" t="s">
        <v>628</v>
      </c>
      <c r="AQ594" t="s">
        <v>74</v>
      </c>
      <c r="AR594" t="s">
        <v>309</v>
      </c>
      <c r="AS594" t="s">
        <v>321</v>
      </c>
      <c r="AT594" t="s">
        <v>9564</v>
      </c>
      <c r="AU594">
        <v>2007</v>
      </c>
      <c r="AV594">
        <v>315</v>
      </c>
      <c r="AW594">
        <v>5818</v>
      </c>
      <c r="AX594" t="s">
        <v>74</v>
      </c>
      <c r="AY594" t="s">
        <v>74</v>
      </c>
      <c r="AZ594" t="s">
        <v>74</v>
      </c>
      <c r="BA594" t="s">
        <v>74</v>
      </c>
      <c r="BB594">
        <v>1503</v>
      </c>
      <c r="BC594">
        <v>1504</v>
      </c>
      <c r="BD594" t="s">
        <v>74</v>
      </c>
      <c r="BE594" t="s">
        <v>9576</v>
      </c>
      <c r="BF594" t="str">
        <f>HYPERLINK("http://dx.doi.org/10.1126/science.1141111","http://dx.doi.org/10.1126/science.1141111")</f>
        <v>http://dx.doi.org/10.1126/science.1141111</v>
      </c>
      <c r="BG594" t="s">
        <v>74</v>
      </c>
      <c r="BH594" t="s">
        <v>74</v>
      </c>
      <c r="BI594">
        <v>2</v>
      </c>
      <c r="BJ594" t="s">
        <v>241</v>
      </c>
      <c r="BK594" t="s">
        <v>98</v>
      </c>
      <c r="BL594" t="s">
        <v>242</v>
      </c>
      <c r="BM594" t="s">
        <v>9577</v>
      </c>
      <c r="BN594">
        <v>17363648</v>
      </c>
      <c r="BO594" t="s">
        <v>74</v>
      </c>
      <c r="BP594" t="s">
        <v>74</v>
      </c>
      <c r="BQ594" t="s">
        <v>74</v>
      </c>
      <c r="BR594" t="s">
        <v>101</v>
      </c>
      <c r="BS594" t="s">
        <v>9578</v>
      </c>
      <c r="BT594" t="str">
        <f>HYPERLINK("https%3A%2F%2Fwww.webofscience.com%2Fwos%2Fwoscc%2Ffull-record%2FWOS:000244934800024","View Full Record in Web of Science")</f>
        <v>View Full Record in Web of Science</v>
      </c>
    </row>
    <row r="595" spans="1:72" x14ac:dyDescent="0.15">
      <c r="A595" t="s">
        <v>72</v>
      </c>
      <c r="B595" t="s">
        <v>9579</v>
      </c>
      <c r="C595" t="s">
        <v>74</v>
      </c>
      <c r="D595" t="s">
        <v>74</v>
      </c>
      <c r="E595" t="s">
        <v>74</v>
      </c>
      <c r="F595" t="s">
        <v>9580</v>
      </c>
      <c r="G595" t="s">
        <v>74</v>
      </c>
      <c r="H595" t="s">
        <v>74</v>
      </c>
      <c r="I595" t="s">
        <v>9581</v>
      </c>
      <c r="J595" t="s">
        <v>309</v>
      </c>
      <c r="K595" t="s">
        <v>74</v>
      </c>
      <c r="L595" t="s">
        <v>74</v>
      </c>
      <c r="M595" t="s">
        <v>78</v>
      </c>
      <c r="N595" t="s">
        <v>248</v>
      </c>
      <c r="O595" t="s">
        <v>74</v>
      </c>
      <c r="P595" t="s">
        <v>74</v>
      </c>
      <c r="Q595" t="s">
        <v>74</v>
      </c>
      <c r="R595" t="s">
        <v>74</v>
      </c>
      <c r="S595" t="s">
        <v>74</v>
      </c>
      <c r="T595" t="s">
        <v>74</v>
      </c>
      <c r="U595" t="s">
        <v>9582</v>
      </c>
      <c r="V595" t="s">
        <v>9583</v>
      </c>
      <c r="W595" t="s">
        <v>9584</v>
      </c>
      <c r="X595" t="s">
        <v>9585</v>
      </c>
      <c r="Y595" t="s">
        <v>9586</v>
      </c>
      <c r="Z595" t="s">
        <v>9587</v>
      </c>
      <c r="AA595" t="s">
        <v>9588</v>
      </c>
      <c r="AB595" t="s">
        <v>9589</v>
      </c>
      <c r="AC595" t="s">
        <v>6359</v>
      </c>
      <c r="AD595" t="s">
        <v>140</v>
      </c>
      <c r="AE595" t="s">
        <v>74</v>
      </c>
      <c r="AF595" t="s">
        <v>74</v>
      </c>
      <c r="AG595">
        <v>50</v>
      </c>
      <c r="AH595">
        <v>234</v>
      </c>
      <c r="AI595">
        <v>269</v>
      </c>
      <c r="AJ595">
        <v>9</v>
      </c>
      <c r="AK595">
        <v>220</v>
      </c>
      <c r="AL595" t="s">
        <v>318</v>
      </c>
      <c r="AM595" t="s">
        <v>142</v>
      </c>
      <c r="AN595" t="s">
        <v>319</v>
      </c>
      <c r="AO595" t="s">
        <v>320</v>
      </c>
      <c r="AP595" t="s">
        <v>628</v>
      </c>
      <c r="AQ595" t="s">
        <v>74</v>
      </c>
      <c r="AR595" t="s">
        <v>309</v>
      </c>
      <c r="AS595" t="s">
        <v>321</v>
      </c>
      <c r="AT595" t="s">
        <v>9564</v>
      </c>
      <c r="AU595">
        <v>2007</v>
      </c>
      <c r="AV595">
        <v>315</v>
      </c>
      <c r="AW595">
        <v>5818</v>
      </c>
      <c r="AX595" t="s">
        <v>74</v>
      </c>
      <c r="AY595" t="s">
        <v>74</v>
      </c>
      <c r="AZ595" t="s">
        <v>74</v>
      </c>
      <c r="BA595" t="s">
        <v>74</v>
      </c>
      <c r="BB595">
        <v>1529</v>
      </c>
      <c r="BC595">
        <v>1532</v>
      </c>
      <c r="BD595" t="s">
        <v>74</v>
      </c>
      <c r="BE595" t="s">
        <v>9590</v>
      </c>
      <c r="BF595" t="str">
        <f>HYPERLINK("http://dx.doi.org/10.1126/science.1136776","http://dx.doi.org/10.1126/science.1136776")</f>
        <v>http://dx.doi.org/10.1126/science.1136776</v>
      </c>
      <c r="BG595" t="s">
        <v>74</v>
      </c>
      <c r="BH595" t="s">
        <v>74</v>
      </c>
      <c r="BI595">
        <v>4</v>
      </c>
      <c r="BJ595" t="s">
        <v>241</v>
      </c>
      <c r="BK595" t="s">
        <v>98</v>
      </c>
      <c r="BL595" t="s">
        <v>242</v>
      </c>
      <c r="BM595" t="s">
        <v>9577</v>
      </c>
      <c r="BN595">
        <v>17363663</v>
      </c>
      <c r="BO595" t="s">
        <v>74</v>
      </c>
      <c r="BP595" t="s">
        <v>74</v>
      </c>
      <c r="BQ595" t="s">
        <v>74</v>
      </c>
      <c r="BR595" t="s">
        <v>101</v>
      </c>
      <c r="BS595" t="s">
        <v>9591</v>
      </c>
      <c r="BT595" t="str">
        <f>HYPERLINK("https%3A%2F%2Fwww.webofscience.com%2Fwos%2Fwoscc%2Ffull-record%2FWOS:000244934800039","View Full Record in Web of Science")</f>
        <v>View Full Record in Web of Science</v>
      </c>
    </row>
    <row r="596" spans="1:72" x14ac:dyDescent="0.15">
      <c r="A596" t="s">
        <v>72</v>
      </c>
      <c r="B596" t="s">
        <v>9592</v>
      </c>
      <c r="C596" t="s">
        <v>74</v>
      </c>
      <c r="D596" t="s">
        <v>74</v>
      </c>
      <c r="E596" t="s">
        <v>74</v>
      </c>
      <c r="F596" t="s">
        <v>9593</v>
      </c>
      <c r="G596" t="s">
        <v>74</v>
      </c>
      <c r="H596" t="s">
        <v>74</v>
      </c>
      <c r="I596" t="s">
        <v>9594</v>
      </c>
      <c r="J596" t="s">
        <v>672</v>
      </c>
      <c r="K596" t="s">
        <v>74</v>
      </c>
      <c r="L596" t="s">
        <v>74</v>
      </c>
      <c r="M596" t="s">
        <v>78</v>
      </c>
      <c r="N596" t="s">
        <v>79</v>
      </c>
      <c r="O596" t="s">
        <v>74</v>
      </c>
      <c r="P596" t="s">
        <v>74</v>
      </c>
      <c r="Q596" t="s">
        <v>74</v>
      </c>
      <c r="R596" t="s">
        <v>74</v>
      </c>
      <c r="S596" t="s">
        <v>74</v>
      </c>
      <c r="T596" t="s">
        <v>9595</v>
      </c>
      <c r="U596" t="s">
        <v>9596</v>
      </c>
      <c r="V596" t="s">
        <v>9597</v>
      </c>
      <c r="W596" t="s">
        <v>9598</v>
      </c>
      <c r="X596" t="s">
        <v>9599</v>
      </c>
      <c r="Y596" t="s">
        <v>9600</v>
      </c>
      <c r="Z596" t="s">
        <v>9601</v>
      </c>
      <c r="AA596" t="s">
        <v>9602</v>
      </c>
      <c r="AB596" t="s">
        <v>9603</v>
      </c>
      <c r="AC596" t="s">
        <v>74</v>
      </c>
      <c r="AD596" t="s">
        <v>74</v>
      </c>
      <c r="AE596" t="s">
        <v>74</v>
      </c>
      <c r="AF596" t="s">
        <v>74</v>
      </c>
      <c r="AG596">
        <v>50</v>
      </c>
      <c r="AH596">
        <v>92</v>
      </c>
      <c r="AI596">
        <v>98</v>
      </c>
      <c r="AJ596">
        <v>0</v>
      </c>
      <c r="AK596">
        <v>20</v>
      </c>
      <c r="AL596" t="s">
        <v>272</v>
      </c>
      <c r="AM596" t="s">
        <v>273</v>
      </c>
      <c r="AN596" t="s">
        <v>274</v>
      </c>
      <c r="AO596" t="s">
        <v>682</v>
      </c>
      <c r="AP596" t="s">
        <v>683</v>
      </c>
      <c r="AQ596" t="s">
        <v>74</v>
      </c>
      <c r="AR596" t="s">
        <v>684</v>
      </c>
      <c r="AS596" t="s">
        <v>685</v>
      </c>
      <c r="AT596" t="s">
        <v>9604</v>
      </c>
      <c r="AU596">
        <v>2007</v>
      </c>
      <c r="AV596">
        <v>238</v>
      </c>
      <c r="AW596" t="s">
        <v>280</v>
      </c>
      <c r="AX596" t="s">
        <v>74</v>
      </c>
      <c r="AY596" t="s">
        <v>74</v>
      </c>
      <c r="AZ596" t="s">
        <v>74</v>
      </c>
      <c r="BA596" t="s">
        <v>74</v>
      </c>
      <c r="BB596">
        <v>107</v>
      </c>
      <c r="BC596">
        <v>120</v>
      </c>
      <c r="BD596" t="s">
        <v>74</v>
      </c>
      <c r="BE596" t="s">
        <v>9605</v>
      </c>
      <c r="BF596" t="str">
        <f>HYPERLINK("http://dx.doi.org/10.1016/j.chemgeo.2006.11.003","http://dx.doi.org/10.1016/j.chemgeo.2006.11.003")</f>
        <v>http://dx.doi.org/10.1016/j.chemgeo.2006.11.003</v>
      </c>
      <c r="BG596" t="s">
        <v>74</v>
      </c>
      <c r="BH596" t="s">
        <v>74</v>
      </c>
      <c r="BI596">
        <v>14</v>
      </c>
      <c r="BJ596" t="s">
        <v>688</v>
      </c>
      <c r="BK596" t="s">
        <v>98</v>
      </c>
      <c r="BL596" t="s">
        <v>688</v>
      </c>
      <c r="BM596" t="s">
        <v>9606</v>
      </c>
      <c r="BN596" t="s">
        <v>74</v>
      </c>
      <c r="BO596" t="s">
        <v>3217</v>
      </c>
      <c r="BP596" t="s">
        <v>74</v>
      </c>
      <c r="BQ596" t="s">
        <v>74</v>
      </c>
      <c r="BR596" t="s">
        <v>101</v>
      </c>
      <c r="BS596" t="s">
        <v>9607</v>
      </c>
      <c r="BT596" t="str">
        <f>HYPERLINK("https%3A%2F%2Fwww.webofscience.com%2Fwos%2Fwoscc%2Ffull-record%2FWOS:000244995300009","View Full Record in Web of Science")</f>
        <v>View Full Record in Web of Science</v>
      </c>
    </row>
    <row r="597" spans="1:72" x14ac:dyDescent="0.15">
      <c r="A597" t="s">
        <v>72</v>
      </c>
      <c r="B597" t="s">
        <v>9608</v>
      </c>
      <c r="C597" t="s">
        <v>74</v>
      </c>
      <c r="D597" t="s">
        <v>74</v>
      </c>
      <c r="E597" t="s">
        <v>74</v>
      </c>
      <c r="F597" t="s">
        <v>9609</v>
      </c>
      <c r="G597" t="s">
        <v>74</v>
      </c>
      <c r="H597" t="s">
        <v>74</v>
      </c>
      <c r="I597" t="s">
        <v>9610</v>
      </c>
      <c r="J597" t="s">
        <v>694</v>
      </c>
      <c r="K597" t="s">
        <v>74</v>
      </c>
      <c r="L597" t="s">
        <v>74</v>
      </c>
      <c r="M597" t="s">
        <v>78</v>
      </c>
      <c r="N597" t="s">
        <v>79</v>
      </c>
      <c r="O597" t="s">
        <v>74</v>
      </c>
      <c r="P597" t="s">
        <v>74</v>
      </c>
      <c r="Q597" t="s">
        <v>74</v>
      </c>
      <c r="R597" t="s">
        <v>74</v>
      </c>
      <c r="S597" t="s">
        <v>74</v>
      </c>
      <c r="T597" t="s">
        <v>9611</v>
      </c>
      <c r="U597" t="s">
        <v>9612</v>
      </c>
      <c r="V597" t="s">
        <v>9613</v>
      </c>
      <c r="W597" t="s">
        <v>9614</v>
      </c>
      <c r="X597" t="s">
        <v>9615</v>
      </c>
      <c r="Y597" t="s">
        <v>9616</v>
      </c>
      <c r="Z597" t="s">
        <v>9617</v>
      </c>
      <c r="AA597" t="s">
        <v>9618</v>
      </c>
      <c r="AB597" t="s">
        <v>9619</v>
      </c>
      <c r="AC597" t="s">
        <v>74</v>
      </c>
      <c r="AD597" t="s">
        <v>74</v>
      </c>
      <c r="AE597" t="s">
        <v>74</v>
      </c>
      <c r="AF597" t="s">
        <v>74</v>
      </c>
      <c r="AG597">
        <v>69</v>
      </c>
      <c r="AH597">
        <v>61</v>
      </c>
      <c r="AI597">
        <v>84</v>
      </c>
      <c r="AJ597">
        <v>1</v>
      </c>
      <c r="AK597">
        <v>18</v>
      </c>
      <c r="AL597" t="s">
        <v>272</v>
      </c>
      <c r="AM597" t="s">
        <v>273</v>
      </c>
      <c r="AN597" t="s">
        <v>274</v>
      </c>
      <c r="AO597" t="s">
        <v>704</v>
      </c>
      <c r="AP597" t="s">
        <v>705</v>
      </c>
      <c r="AQ597" t="s">
        <v>74</v>
      </c>
      <c r="AR597" t="s">
        <v>706</v>
      </c>
      <c r="AS597" t="s">
        <v>707</v>
      </c>
      <c r="AT597" t="s">
        <v>9604</v>
      </c>
      <c r="AU597">
        <v>2007</v>
      </c>
      <c r="AV597">
        <v>255</v>
      </c>
      <c r="AW597" t="s">
        <v>280</v>
      </c>
      <c r="AX597" t="s">
        <v>74</v>
      </c>
      <c r="AY597" t="s">
        <v>74</v>
      </c>
      <c r="AZ597" t="s">
        <v>74</v>
      </c>
      <c r="BA597" t="s">
        <v>74</v>
      </c>
      <c r="BB597">
        <v>133</v>
      </c>
      <c r="BC597">
        <v>147</v>
      </c>
      <c r="BD597" t="s">
        <v>74</v>
      </c>
      <c r="BE597" t="s">
        <v>9620</v>
      </c>
      <c r="BF597" t="str">
        <f>HYPERLINK("http://dx.doi.org/10.1016/j.epsl.2006.12.011","http://dx.doi.org/10.1016/j.epsl.2006.12.011")</f>
        <v>http://dx.doi.org/10.1016/j.epsl.2006.12.011</v>
      </c>
      <c r="BG597" t="s">
        <v>74</v>
      </c>
      <c r="BH597" t="s">
        <v>74</v>
      </c>
      <c r="BI597">
        <v>15</v>
      </c>
      <c r="BJ597" t="s">
        <v>688</v>
      </c>
      <c r="BK597" t="s">
        <v>98</v>
      </c>
      <c r="BL597" t="s">
        <v>688</v>
      </c>
      <c r="BM597" t="s">
        <v>9621</v>
      </c>
      <c r="BN597" t="s">
        <v>74</v>
      </c>
      <c r="BO597" t="s">
        <v>74</v>
      </c>
      <c r="BP597" t="s">
        <v>74</v>
      </c>
      <c r="BQ597" t="s">
        <v>74</v>
      </c>
      <c r="BR597" t="s">
        <v>101</v>
      </c>
      <c r="BS597" t="s">
        <v>9622</v>
      </c>
      <c r="BT597" t="str">
        <f>HYPERLINK("https%3A%2F%2Fwww.webofscience.com%2Fwos%2Fwoscc%2Ffull-record%2FWOS:000245143600012","View Full Record in Web of Science")</f>
        <v>View Full Record in Web of Science</v>
      </c>
    </row>
    <row r="598" spans="1:72" x14ac:dyDescent="0.15">
      <c r="A598" t="s">
        <v>72</v>
      </c>
      <c r="B598" t="s">
        <v>9623</v>
      </c>
      <c r="C598" t="s">
        <v>74</v>
      </c>
      <c r="D598" t="s">
        <v>74</v>
      </c>
      <c r="E598" t="s">
        <v>74</v>
      </c>
      <c r="F598" t="s">
        <v>9624</v>
      </c>
      <c r="G598" t="s">
        <v>74</v>
      </c>
      <c r="H598" t="s">
        <v>74</v>
      </c>
      <c r="I598" t="s">
        <v>9625</v>
      </c>
      <c r="J598" t="s">
        <v>9626</v>
      </c>
      <c r="K598" t="s">
        <v>74</v>
      </c>
      <c r="L598" t="s">
        <v>74</v>
      </c>
      <c r="M598" t="s">
        <v>78</v>
      </c>
      <c r="N598" t="s">
        <v>79</v>
      </c>
      <c r="O598" t="s">
        <v>74</v>
      </c>
      <c r="P598" t="s">
        <v>74</v>
      </c>
      <c r="Q598" t="s">
        <v>74</v>
      </c>
      <c r="R598" t="s">
        <v>74</v>
      </c>
      <c r="S598" t="s">
        <v>74</v>
      </c>
      <c r="T598" t="s">
        <v>9627</v>
      </c>
      <c r="U598" t="s">
        <v>9628</v>
      </c>
      <c r="V598" t="s">
        <v>9629</v>
      </c>
      <c r="W598" t="s">
        <v>9630</v>
      </c>
      <c r="X598" t="s">
        <v>9631</v>
      </c>
      <c r="Y598" t="s">
        <v>9632</v>
      </c>
      <c r="Z598" t="s">
        <v>9633</v>
      </c>
      <c r="AA598" t="s">
        <v>9634</v>
      </c>
      <c r="AB598" t="s">
        <v>9635</v>
      </c>
      <c r="AC598" t="s">
        <v>74</v>
      </c>
      <c r="AD598" t="s">
        <v>74</v>
      </c>
      <c r="AE598" t="s">
        <v>74</v>
      </c>
      <c r="AF598" t="s">
        <v>74</v>
      </c>
      <c r="AG598">
        <v>39</v>
      </c>
      <c r="AH598">
        <v>153</v>
      </c>
      <c r="AI598">
        <v>167</v>
      </c>
      <c r="AJ598">
        <v>2</v>
      </c>
      <c r="AK598">
        <v>31</v>
      </c>
      <c r="AL598" t="s">
        <v>272</v>
      </c>
      <c r="AM598" t="s">
        <v>273</v>
      </c>
      <c r="AN598" t="s">
        <v>274</v>
      </c>
      <c r="AO598" t="s">
        <v>9636</v>
      </c>
      <c r="AP598" t="s">
        <v>9637</v>
      </c>
      <c r="AQ598" t="s">
        <v>74</v>
      </c>
      <c r="AR598" t="s">
        <v>9626</v>
      </c>
      <c r="AS598" t="s">
        <v>9638</v>
      </c>
      <c r="AT598" t="s">
        <v>9604</v>
      </c>
      <c r="AU598">
        <v>2007</v>
      </c>
      <c r="AV598">
        <v>138</v>
      </c>
      <c r="AW598" t="s">
        <v>686</v>
      </c>
      <c r="AX598" t="s">
        <v>74</v>
      </c>
      <c r="AY598" t="s">
        <v>74</v>
      </c>
      <c r="AZ598" t="s">
        <v>74</v>
      </c>
      <c r="BA598" t="s">
        <v>74</v>
      </c>
      <c r="BB598">
        <v>191</v>
      </c>
      <c r="BC598">
        <v>203</v>
      </c>
      <c r="BD598" t="s">
        <v>74</v>
      </c>
      <c r="BE598" t="s">
        <v>9639</v>
      </c>
      <c r="BF598" t="str">
        <f>HYPERLINK("http://dx.doi.org/10.1016/j.geoderma.2006.11.011","http://dx.doi.org/10.1016/j.geoderma.2006.11.011")</f>
        <v>http://dx.doi.org/10.1016/j.geoderma.2006.11.011</v>
      </c>
      <c r="BG598" t="s">
        <v>74</v>
      </c>
      <c r="BH598" t="s">
        <v>74</v>
      </c>
      <c r="BI598">
        <v>13</v>
      </c>
      <c r="BJ598" t="s">
        <v>5381</v>
      </c>
      <c r="BK598" t="s">
        <v>98</v>
      </c>
      <c r="BL598" t="s">
        <v>5382</v>
      </c>
      <c r="BM598" t="s">
        <v>9640</v>
      </c>
      <c r="BN598" t="s">
        <v>74</v>
      </c>
      <c r="BO598" t="s">
        <v>198</v>
      </c>
      <c r="BP598" t="s">
        <v>74</v>
      </c>
      <c r="BQ598" t="s">
        <v>74</v>
      </c>
      <c r="BR598" t="s">
        <v>101</v>
      </c>
      <c r="BS598" t="s">
        <v>9641</v>
      </c>
      <c r="BT598" t="str">
        <f>HYPERLINK("https%3A%2F%2Fwww.webofscience.com%2Fwos%2Fwoscc%2Ffull-record%2FWOS:000245479800002","View Full Record in Web of Science")</f>
        <v>View Full Record in Web of Science</v>
      </c>
    </row>
    <row r="599" spans="1:72" x14ac:dyDescent="0.15">
      <c r="A599" t="s">
        <v>72</v>
      </c>
      <c r="B599" t="s">
        <v>9642</v>
      </c>
      <c r="C599" t="s">
        <v>74</v>
      </c>
      <c r="D599" t="s">
        <v>74</v>
      </c>
      <c r="E599" t="s">
        <v>74</v>
      </c>
      <c r="F599" t="s">
        <v>9643</v>
      </c>
      <c r="G599" t="s">
        <v>74</v>
      </c>
      <c r="H599" t="s">
        <v>74</v>
      </c>
      <c r="I599" t="s">
        <v>9644</v>
      </c>
      <c r="J599" t="s">
        <v>9645</v>
      </c>
      <c r="K599" t="s">
        <v>74</v>
      </c>
      <c r="L599" t="s">
        <v>74</v>
      </c>
      <c r="M599" t="s">
        <v>78</v>
      </c>
      <c r="N599" t="s">
        <v>79</v>
      </c>
      <c r="O599" t="s">
        <v>74</v>
      </c>
      <c r="P599" t="s">
        <v>74</v>
      </c>
      <c r="Q599" t="s">
        <v>74</v>
      </c>
      <c r="R599" t="s">
        <v>74</v>
      </c>
      <c r="S599" t="s">
        <v>74</v>
      </c>
      <c r="T599" t="s">
        <v>9646</v>
      </c>
      <c r="U599" t="s">
        <v>9647</v>
      </c>
      <c r="V599" t="s">
        <v>9648</v>
      </c>
      <c r="W599" t="s">
        <v>9649</v>
      </c>
      <c r="X599" t="s">
        <v>9650</v>
      </c>
      <c r="Y599" t="s">
        <v>9651</v>
      </c>
      <c r="Z599" t="s">
        <v>9652</v>
      </c>
      <c r="AA599" t="s">
        <v>565</v>
      </c>
      <c r="AB599" t="s">
        <v>9653</v>
      </c>
      <c r="AC599" t="s">
        <v>139</v>
      </c>
      <c r="AD599" t="s">
        <v>140</v>
      </c>
      <c r="AE599" t="s">
        <v>74</v>
      </c>
      <c r="AF599" t="s">
        <v>74</v>
      </c>
      <c r="AG599">
        <v>64</v>
      </c>
      <c r="AH599">
        <v>111</v>
      </c>
      <c r="AI599">
        <v>127</v>
      </c>
      <c r="AJ599">
        <v>3</v>
      </c>
      <c r="AK599">
        <v>78</v>
      </c>
      <c r="AL599" t="s">
        <v>1202</v>
      </c>
      <c r="AM599" t="s">
        <v>1203</v>
      </c>
      <c r="AN599" t="s">
        <v>1204</v>
      </c>
      <c r="AO599" t="s">
        <v>9654</v>
      </c>
      <c r="AP599" t="s">
        <v>9655</v>
      </c>
      <c r="AQ599" t="s">
        <v>74</v>
      </c>
      <c r="AR599" t="s">
        <v>9656</v>
      </c>
      <c r="AS599" t="s">
        <v>9657</v>
      </c>
      <c r="AT599" t="s">
        <v>9604</v>
      </c>
      <c r="AU599">
        <v>2007</v>
      </c>
      <c r="AV599">
        <v>27</v>
      </c>
      <c r="AW599">
        <v>3</v>
      </c>
      <c r="AX599" t="s">
        <v>74</v>
      </c>
      <c r="AY599" t="s">
        <v>74</v>
      </c>
      <c r="AZ599" t="s">
        <v>74</v>
      </c>
      <c r="BA599" t="s">
        <v>74</v>
      </c>
      <c r="BB599">
        <v>277</v>
      </c>
      <c r="BC599">
        <v>293</v>
      </c>
      <c r="BD599" t="s">
        <v>74</v>
      </c>
      <c r="BE599" t="s">
        <v>9658</v>
      </c>
      <c r="BF599" t="str">
        <f>HYPERLINK("http://dx.doi.org/10.1002/joc.1406","http://dx.doi.org/10.1002/joc.1406")</f>
        <v>http://dx.doi.org/10.1002/joc.1406</v>
      </c>
      <c r="BG599" t="s">
        <v>74</v>
      </c>
      <c r="BH599" t="s">
        <v>74</v>
      </c>
      <c r="BI599">
        <v>17</v>
      </c>
      <c r="BJ599" t="s">
        <v>435</v>
      </c>
      <c r="BK599" t="s">
        <v>98</v>
      </c>
      <c r="BL599" t="s">
        <v>435</v>
      </c>
      <c r="BM599" t="s">
        <v>9659</v>
      </c>
      <c r="BN599" t="s">
        <v>74</v>
      </c>
      <c r="BO599" t="s">
        <v>74</v>
      </c>
      <c r="BP599" t="s">
        <v>74</v>
      </c>
      <c r="BQ599" t="s">
        <v>74</v>
      </c>
      <c r="BR599" t="s">
        <v>101</v>
      </c>
      <c r="BS599" t="s">
        <v>9660</v>
      </c>
      <c r="BT599" t="str">
        <f>HYPERLINK("https%3A%2F%2Fwww.webofscience.com%2Fwos%2Fwoscc%2Ffull-record%2FWOS:000245147300001","View Full Record in Web of Science")</f>
        <v>View Full Record in Web of Science</v>
      </c>
    </row>
    <row r="600" spans="1:72" x14ac:dyDescent="0.15">
      <c r="A600" t="s">
        <v>72</v>
      </c>
      <c r="B600" t="s">
        <v>9661</v>
      </c>
      <c r="C600" t="s">
        <v>74</v>
      </c>
      <c r="D600" t="s">
        <v>74</v>
      </c>
      <c r="E600" t="s">
        <v>74</v>
      </c>
      <c r="F600" t="s">
        <v>9662</v>
      </c>
      <c r="G600" t="s">
        <v>74</v>
      </c>
      <c r="H600" t="s">
        <v>74</v>
      </c>
      <c r="I600" t="s">
        <v>9663</v>
      </c>
      <c r="J600" t="s">
        <v>9645</v>
      </c>
      <c r="K600" t="s">
        <v>74</v>
      </c>
      <c r="L600" t="s">
        <v>74</v>
      </c>
      <c r="M600" t="s">
        <v>78</v>
      </c>
      <c r="N600" t="s">
        <v>79</v>
      </c>
      <c r="O600" t="s">
        <v>74</v>
      </c>
      <c r="P600" t="s">
        <v>74</v>
      </c>
      <c r="Q600" t="s">
        <v>74</v>
      </c>
      <c r="R600" t="s">
        <v>74</v>
      </c>
      <c r="S600" t="s">
        <v>74</v>
      </c>
      <c r="T600" t="s">
        <v>9664</v>
      </c>
      <c r="U600" t="s">
        <v>9665</v>
      </c>
      <c r="V600" t="s">
        <v>9666</v>
      </c>
      <c r="W600" t="s">
        <v>4766</v>
      </c>
      <c r="X600" t="s">
        <v>1988</v>
      </c>
      <c r="Y600" t="s">
        <v>9667</v>
      </c>
      <c r="Z600" t="s">
        <v>9668</v>
      </c>
      <c r="AA600" t="s">
        <v>74</v>
      </c>
      <c r="AB600" t="s">
        <v>74</v>
      </c>
      <c r="AC600" t="s">
        <v>139</v>
      </c>
      <c r="AD600" t="s">
        <v>140</v>
      </c>
      <c r="AE600" t="s">
        <v>74</v>
      </c>
      <c r="AF600" t="s">
        <v>74</v>
      </c>
      <c r="AG600">
        <v>21</v>
      </c>
      <c r="AH600">
        <v>161</v>
      </c>
      <c r="AI600">
        <v>177</v>
      </c>
      <c r="AJ600">
        <v>4</v>
      </c>
      <c r="AK600">
        <v>46</v>
      </c>
      <c r="AL600" t="s">
        <v>1202</v>
      </c>
      <c r="AM600" t="s">
        <v>1203</v>
      </c>
      <c r="AN600" t="s">
        <v>1204</v>
      </c>
      <c r="AO600" t="s">
        <v>9654</v>
      </c>
      <c r="AP600" t="s">
        <v>9655</v>
      </c>
      <c r="AQ600" t="s">
        <v>74</v>
      </c>
      <c r="AR600" t="s">
        <v>9656</v>
      </c>
      <c r="AS600" t="s">
        <v>9657</v>
      </c>
      <c r="AT600" t="s">
        <v>9604</v>
      </c>
      <c r="AU600">
        <v>2007</v>
      </c>
      <c r="AV600">
        <v>27</v>
      </c>
      <c r="AW600">
        <v>3</v>
      </c>
      <c r="AX600" t="s">
        <v>74</v>
      </c>
      <c r="AY600" t="s">
        <v>74</v>
      </c>
      <c r="AZ600" t="s">
        <v>74</v>
      </c>
      <c r="BA600" t="s">
        <v>74</v>
      </c>
      <c r="BB600">
        <v>373</v>
      </c>
      <c r="BC600">
        <v>383</v>
      </c>
      <c r="BD600" t="s">
        <v>74</v>
      </c>
      <c r="BE600" t="s">
        <v>9669</v>
      </c>
      <c r="BF600" t="str">
        <f>HYPERLINK("http://dx.doi.org/10.1002/joc.1407","http://dx.doi.org/10.1002/joc.1407")</f>
        <v>http://dx.doi.org/10.1002/joc.1407</v>
      </c>
      <c r="BG600" t="s">
        <v>74</v>
      </c>
      <c r="BH600" t="s">
        <v>74</v>
      </c>
      <c r="BI600">
        <v>11</v>
      </c>
      <c r="BJ600" t="s">
        <v>435</v>
      </c>
      <c r="BK600" t="s">
        <v>98</v>
      </c>
      <c r="BL600" t="s">
        <v>435</v>
      </c>
      <c r="BM600" t="s">
        <v>9659</v>
      </c>
      <c r="BN600" t="s">
        <v>74</v>
      </c>
      <c r="BO600" t="s">
        <v>223</v>
      </c>
      <c r="BP600" t="s">
        <v>74</v>
      </c>
      <c r="BQ600" t="s">
        <v>74</v>
      </c>
      <c r="BR600" t="s">
        <v>101</v>
      </c>
      <c r="BS600" t="s">
        <v>9670</v>
      </c>
      <c r="BT600" t="str">
        <f>HYPERLINK("https%3A%2F%2Fwww.webofscience.com%2Fwos%2Fwoscc%2Ffull-record%2FWOS:000245147300008","View Full Record in Web of Science")</f>
        <v>View Full Record in Web of Science</v>
      </c>
    </row>
    <row r="601" spans="1:72" x14ac:dyDescent="0.15">
      <c r="A601" t="s">
        <v>72</v>
      </c>
      <c r="B601" t="s">
        <v>9671</v>
      </c>
      <c r="C601" t="s">
        <v>74</v>
      </c>
      <c r="D601" t="s">
        <v>74</v>
      </c>
      <c r="E601" t="s">
        <v>74</v>
      </c>
      <c r="F601" t="s">
        <v>9672</v>
      </c>
      <c r="G601" t="s">
        <v>74</v>
      </c>
      <c r="H601" t="s">
        <v>74</v>
      </c>
      <c r="I601" t="s">
        <v>9673</v>
      </c>
      <c r="J601" t="s">
        <v>9674</v>
      </c>
      <c r="K601" t="s">
        <v>74</v>
      </c>
      <c r="L601" t="s">
        <v>74</v>
      </c>
      <c r="M601" t="s">
        <v>78</v>
      </c>
      <c r="N601" t="s">
        <v>79</v>
      </c>
      <c r="O601" t="s">
        <v>74</v>
      </c>
      <c r="P601" t="s">
        <v>74</v>
      </c>
      <c r="Q601" t="s">
        <v>74</v>
      </c>
      <c r="R601" t="s">
        <v>74</v>
      </c>
      <c r="S601" t="s">
        <v>74</v>
      </c>
      <c r="T601" t="s">
        <v>74</v>
      </c>
      <c r="U601" t="s">
        <v>9675</v>
      </c>
      <c r="V601" t="s">
        <v>9676</v>
      </c>
      <c r="W601" t="s">
        <v>9677</v>
      </c>
      <c r="X601" t="s">
        <v>9678</v>
      </c>
      <c r="Y601" t="s">
        <v>9679</v>
      </c>
      <c r="Z601" t="s">
        <v>9680</v>
      </c>
      <c r="AA601" t="s">
        <v>9681</v>
      </c>
      <c r="AB601" t="s">
        <v>9682</v>
      </c>
      <c r="AC601" t="s">
        <v>74</v>
      </c>
      <c r="AD601" t="s">
        <v>74</v>
      </c>
      <c r="AE601" t="s">
        <v>74</v>
      </c>
      <c r="AF601" t="s">
        <v>74</v>
      </c>
      <c r="AG601">
        <v>26</v>
      </c>
      <c r="AH601">
        <v>65</v>
      </c>
      <c r="AI601">
        <v>77</v>
      </c>
      <c r="AJ601">
        <v>1</v>
      </c>
      <c r="AK601">
        <v>22</v>
      </c>
      <c r="AL601" t="s">
        <v>141</v>
      </c>
      <c r="AM601" t="s">
        <v>142</v>
      </c>
      <c r="AN601" t="s">
        <v>143</v>
      </c>
      <c r="AO601" t="s">
        <v>9683</v>
      </c>
      <c r="AP601" t="s">
        <v>74</v>
      </c>
      <c r="AQ601" t="s">
        <v>74</v>
      </c>
      <c r="AR601" t="s">
        <v>9684</v>
      </c>
      <c r="AS601" t="s">
        <v>9685</v>
      </c>
      <c r="AT601" t="s">
        <v>9604</v>
      </c>
      <c r="AU601">
        <v>2007</v>
      </c>
      <c r="AV601">
        <v>43</v>
      </c>
      <c r="AW601">
        <v>3</v>
      </c>
      <c r="AX601" t="s">
        <v>74</v>
      </c>
      <c r="AY601" t="s">
        <v>74</v>
      </c>
      <c r="AZ601" t="s">
        <v>74</v>
      </c>
      <c r="BA601" t="s">
        <v>74</v>
      </c>
      <c r="BB601" t="s">
        <v>74</v>
      </c>
      <c r="BC601" t="s">
        <v>74</v>
      </c>
      <c r="BD601" t="s">
        <v>9686</v>
      </c>
      <c r="BE601" t="s">
        <v>9687</v>
      </c>
      <c r="BF601" t="str">
        <f>HYPERLINK("http://dx.doi.org/10.1029/2006WR005069","http://dx.doi.org/10.1029/2006WR005069")</f>
        <v>http://dx.doi.org/10.1029/2006WR005069</v>
      </c>
      <c r="BG601" t="s">
        <v>74</v>
      </c>
      <c r="BH601" t="s">
        <v>74</v>
      </c>
      <c r="BI601">
        <v>12</v>
      </c>
      <c r="BJ601" t="s">
        <v>9688</v>
      </c>
      <c r="BK601" t="s">
        <v>98</v>
      </c>
      <c r="BL601" t="s">
        <v>9689</v>
      </c>
      <c r="BM601" t="s">
        <v>9690</v>
      </c>
      <c r="BN601" t="s">
        <v>74</v>
      </c>
      <c r="BO601" t="s">
        <v>154</v>
      </c>
      <c r="BP601" t="s">
        <v>74</v>
      </c>
      <c r="BQ601" t="s">
        <v>74</v>
      </c>
      <c r="BR601" t="s">
        <v>101</v>
      </c>
      <c r="BS601" t="s">
        <v>9691</v>
      </c>
      <c r="BT601" t="str">
        <f>HYPERLINK("https%3A%2F%2Fwww.webofscience.com%2Fwos%2Fwoscc%2Ffull-record%2FWOS:000245027600003","View Full Record in Web of Science")</f>
        <v>View Full Record in Web of Science</v>
      </c>
    </row>
    <row r="602" spans="1:72" x14ac:dyDescent="0.15">
      <c r="A602" t="s">
        <v>72</v>
      </c>
      <c r="B602" t="s">
        <v>9692</v>
      </c>
      <c r="C602" t="s">
        <v>74</v>
      </c>
      <c r="D602" t="s">
        <v>74</v>
      </c>
      <c r="E602" t="s">
        <v>74</v>
      </c>
      <c r="F602" t="s">
        <v>9693</v>
      </c>
      <c r="G602" t="s">
        <v>74</v>
      </c>
      <c r="H602" t="s">
        <v>74</v>
      </c>
      <c r="I602" t="s">
        <v>9694</v>
      </c>
      <c r="J602" t="s">
        <v>582</v>
      </c>
      <c r="K602" t="s">
        <v>74</v>
      </c>
      <c r="L602" t="s">
        <v>74</v>
      </c>
      <c r="M602" t="s">
        <v>78</v>
      </c>
      <c r="N602" t="s">
        <v>79</v>
      </c>
      <c r="O602" t="s">
        <v>74</v>
      </c>
      <c r="P602" t="s">
        <v>74</v>
      </c>
      <c r="Q602" t="s">
        <v>74</v>
      </c>
      <c r="R602" t="s">
        <v>74</v>
      </c>
      <c r="S602" t="s">
        <v>74</v>
      </c>
      <c r="T602" t="s">
        <v>9695</v>
      </c>
      <c r="U602" t="s">
        <v>9696</v>
      </c>
      <c r="V602" t="s">
        <v>9697</v>
      </c>
      <c r="W602" t="s">
        <v>9698</v>
      </c>
      <c r="X602" t="s">
        <v>9699</v>
      </c>
      <c r="Y602" t="s">
        <v>9700</v>
      </c>
      <c r="Z602" t="s">
        <v>9701</v>
      </c>
      <c r="AA602" t="s">
        <v>74</v>
      </c>
      <c r="AB602" t="s">
        <v>9702</v>
      </c>
      <c r="AC602" t="s">
        <v>74</v>
      </c>
      <c r="AD602" t="s">
        <v>74</v>
      </c>
      <c r="AE602" t="s">
        <v>74</v>
      </c>
      <c r="AF602" t="s">
        <v>74</v>
      </c>
      <c r="AG602">
        <v>65</v>
      </c>
      <c r="AH602">
        <v>14</v>
      </c>
      <c r="AI602">
        <v>15</v>
      </c>
      <c r="AJ602">
        <v>0</v>
      </c>
      <c r="AK602">
        <v>7</v>
      </c>
      <c r="AL602" t="s">
        <v>272</v>
      </c>
      <c r="AM602" t="s">
        <v>273</v>
      </c>
      <c r="AN602" t="s">
        <v>274</v>
      </c>
      <c r="AO602" t="s">
        <v>594</v>
      </c>
      <c r="AP602" t="s">
        <v>614</v>
      </c>
      <c r="AQ602" t="s">
        <v>74</v>
      </c>
      <c r="AR602" t="s">
        <v>595</v>
      </c>
      <c r="AS602" t="s">
        <v>596</v>
      </c>
      <c r="AT602" t="s">
        <v>9703</v>
      </c>
      <c r="AU602">
        <v>2007</v>
      </c>
      <c r="AV602">
        <v>237</v>
      </c>
      <c r="AW602" t="s">
        <v>686</v>
      </c>
      <c r="AX602" t="s">
        <v>74</v>
      </c>
      <c r="AY602" t="s">
        <v>74</v>
      </c>
      <c r="AZ602" t="s">
        <v>74</v>
      </c>
      <c r="BA602" t="s">
        <v>74</v>
      </c>
      <c r="BB602">
        <v>207</v>
      </c>
      <c r="BC602">
        <v>223</v>
      </c>
      <c r="BD602" t="s">
        <v>74</v>
      </c>
      <c r="BE602" t="s">
        <v>9704</v>
      </c>
      <c r="BF602" t="str">
        <f>HYPERLINK("http://dx.doi.org/10.1016/j.margeo.2006.12.002","http://dx.doi.org/10.1016/j.margeo.2006.12.002")</f>
        <v>http://dx.doi.org/10.1016/j.margeo.2006.12.002</v>
      </c>
      <c r="BG602" t="s">
        <v>74</v>
      </c>
      <c r="BH602" t="s">
        <v>74</v>
      </c>
      <c r="BI602">
        <v>17</v>
      </c>
      <c r="BJ602" t="s">
        <v>598</v>
      </c>
      <c r="BK602" t="s">
        <v>98</v>
      </c>
      <c r="BL602" t="s">
        <v>599</v>
      </c>
      <c r="BM602" t="s">
        <v>9705</v>
      </c>
      <c r="BN602" t="s">
        <v>74</v>
      </c>
      <c r="BO602" t="s">
        <v>74</v>
      </c>
      <c r="BP602" t="s">
        <v>74</v>
      </c>
      <c r="BQ602" t="s">
        <v>74</v>
      </c>
      <c r="BR602" t="s">
        <v>101</v>
      </c>
      <c r="BS602" t="s">
        <v>9706</v>
      </c>
      <c r="BT602" t="str">
        <f>HYPERLINK("https%3A%2F%2Fwww.webofscience.com%2Fwos%2Fwoscc%2Ffull-record%2FWOS:000244822900006","View Full Record in Web of Science")</f>
        <v>View Full Record in Web of Science</v>
      </c>
    </row>
    <row r="603" spans="1:72" x14ac:dyDescent="0.15">
      <c r="A603" t="s">
        <v>72</v>
      </c>
      <c r="B603" t="s">
        <v>9707</v>
      </c>
      <c r="C603" t="s">
        <v>74</v>
      </c>
      <c r="D603" t="s">
        <v>74</v>
      </c>
      <c r="E603" t="s">
        <v>74</v>
      </c>
      <c r="F603" t="s">
        <v>9708</v>
      </c>
      <c r="G603" t="s">
        <v>74</v>
      </c>
      <c r="H603" t="s">
        <v>74</v>
      </c>
      <c r="I603" t="s">
        <v>9709</v>
      </c>
      <c r="J603" t="s">
        <v>130</v>
      </c>
      <c r="K603" t="s">
        <v>74</v>
      </c>
      <c r="L603" t="s">
        <v>74</v>
      </c>
      <c r="M603" t="s">
        <v>78</v>
      </c>
      <c r="N603" t="s">
        <v>79</v>
      </c>
      <c r="O603" t="s">
        <v>74</v>
      </c>
      <c r="P603" t="s">
        <v>74</v>
      </c>
      <c r="Q603" t="s">
        <v>74</v>
      </c>
      <c r="R603" t="s">
        <v>74</v>
      </c>
      <c r="S603" t="s">
        <v>74</v>
      </c>
      <c r="T603" t="s">
        <v>74</v>
      </c>
      <c r="U603" t="s">
        <v>9710</v>
      </c>
      <c r="V603" t="s">
        <v>9711</v>
      </c>
      <c r="W603" t="s">
        <v>9712</v>
      </c>
      <c r="X603" t="s">
        <v>1988</v>
      </c>
      <c r="Y603" t="s">
        <v>9713</v>
      </c>
      <c r="Z603" t="s">
        <v>9714</v>
      </c>
      <c r="AA603" t="s">
        <v>74</v>
      </c>
      <c r="AB603" t="s">
        <v>9715</v>
      </c>
      <c r="AC603" t="s">
        <v>3050</v>
      </c>
      <c r="AD603" t="s">
        <v>361</v>
      </c>
      <c r="AE603" t="s">
        <v>74</v>
      </c>
      <c r="AF603" t="s">
        <v>74</v>
      </c>
      <c r="AG603">
        <v>8</v>
      </c>
      <c r="AH603">
        <v>5</v>
      </c>
      <c r="AI603">
        <v>5</v>
      </c>
      <c r="AJ603">
        <v>0</v>
      </c>
      <c r="AK603">
        <v>2</v>
      </c>
      <c r="AL603" t="s">
        <v>141</v>
      </c>
      <c r="AM603" t="s">
        <v>142</v>
      </c>
      <c r="AN603" t="s">
        <v>143</v>
      </c>
      <c r="AO603" t="s">
        <v>144</v>
      </c>
      <c r="AP603" t="s">
        <v>145</v>
      </c>
      <c r="AQ603" t="s">
        <v>74</v>
      </c>
      <c r="AR603" t="s">
        <v>146</v>
      </c>
      <c r="AS603" t="s">
        <v>147</v>
      </c>
      <c r="AT603" t="s">
        <v>9716</v>
      </c>
      <c r="AU603">
        <v>2007</v>
      </c>
      <c r="AV603">
        <v>34</v>
      </c>
      <c r="AW603">
        <v>5</v>
      </c>
      <c r="AX603" t="s">
        <v>74</v>
      </c>
      <c r="AY603" t="s">
        <v>74</v>
      </c>
      <c r="AZ603" t="s">
        <v>74</v>
      </c>
      <c r="BA603" t="s">
        <v>74</v>
      </c>
      <c r="BB603" t="s">
        <v>74</v>
      </c>
      <c r="BC603" t="s">
        <v>74</v>
      </c>
      <c r="BD603" t="s">
        <v>9717</v>
      </c>
      <c r="BE603" t="s">
        <v>9718</v>
      </c>
      <c r="BF603" t="str">
        <f>HYPERLINK("http://dx.doi.org/10.1029/2006GL029067","http://dx.doi.org/10.1029/2006GL029067")</f>
        <v>http://dx.doi.org/10.1029/2006GL029067</v>
      </c>
      <c r="BG603" t="s">
        <v>74</v>
      </c>
      <c r="BH603" t="s">
        <v>74</v>
      </c>
      <c r="BI603">
        <v>4</v>
      </c>
      <c r="BJ603" t="s">
        <v>151</v>
      </c>
      <c r="BK603" t="s">
        <v>98</v>
      </c>
      <c r="BL603" t="s">
        <v>152</v>
      </c>
      <c r="BM603" t="s">
        <v>9719</v>
      </c>
      <c r="BN603" t="s">
        <v>74</v>
      </c>
      <c r="BO603" t="s">
        <v>74</v>
      </c>
      <c r="BP603" t="s">
        <v>74</v>
      </c>
      <c r="BQ603" t="s">
        <v>74</v>
      </c>
      <c r="BR603" t="s">
        <v>101</v>
      </c>
      <c r="BS603" t="s">
        <v>9720</v>
      </c>
      <c r="BT603" t="str">
        <f>HYPERLINK("https%3A%2F%2Fwww.webofscience.com%2Fwos%2Fwoscc%2Ffull-record%2FWOS:000244897400007","View Full Record in Web of Science")</f>
        <v>View Full Record in Web of Science</v>
      </c>
    </row>
    <row r="604" spans="1:72" x14ac:dyDescent="0.15">
      <c r="A604" t="s">
        <v>72</v>
      </c>
      <c r="B604" t="s">
        <v>9721</v>
      </c>
      <c r="C604" t="s">
        <v>74</v>
      </c>
      <c r="D604" t="s">
        <v>74</v>
      </c>
      <c r="E604" t="s">
        <v>74</v>
      </c>
      <c r="F604" t="s">
        <v>9722</v>
      </c>
      <c r="G604" t="s">
        <v>74</v>
      </c>
      <c r="H604" t="s">
        <v>74</v>
      </c>
      <c r="I604" t="s">
        <v>9723</v>
      </c>
      <c r="J604" t="s">
        <v>9724</v>
      </c>
      <c r="K604" t="s">
        <v>74</v>
      </c>
      <c r="L604" t="s">
        <v>74</v>
      </c>
      <c r="M604" t="s">
        <v>78</v>
      </c>
      <c r="N604" t="s">
        <v>79</v>
      </c>
      <c r="O604" t="s">
        <v>74</v>
      </c>
      <c r="P604" t="s">
        <v>74</v>
      </c>
      <c r="Q604" t="s">
        <v>74</v>
      </c>
      <c r="R604" t="s">
        <v>74</v>
      </c>
      <c r="S604" t="s">
        <v>74</v>
      </c>
      <c r="T604" t="s">
        <v>9725</v>
      </c>
      <c r="U604" t="s">
        <v>9726</v>
      </c>
      <c r="V604" t="s">
        <v>9727</v>
      </c>
      <c r="W604" t="s">
        <v>9728</v>
      </c>
      <c r="X604" t="s">
        <v>9729</v>
      </c>
      <c r="Y604" t="s">
        <v>9730</v>
      </c>
      <c r="Z604" t="s">
        <v>9731</v>
      </c>
      <c r="AA604" t="s">
        <v>9732</v>
      </c>
      <c r="AB604" t="s">
        <v>9733</v>
      </c>
      <c r="AC604" t="s">
        <v>74</v>
      </c>
      <c r="AD604" t="s">
        <v>74</v>
      </c>
      <c r="AE604" t="s">
        <v>74</v>
      </c>
      <c r="AF604" t="s">
        <v>74</v>
      </c>
      <c r="AG604">
        <v>57</v>
      </c>
      <c r="AH604">
        <v>78</v>
      </c>
      <c r="AI604">
        <v>98</v>
      </c>
      <c r="AJ604">
        <v>3</v>
      </c>
      <c r="AK604">
        <v>44</v>
      </c>
      <c r="AL604" t="s">
        <v>337</v>
      </c>
      <c r="AM604" t="s">
        <v>142</v>
      </c>
      <c r="AN604" t="s">
        <v>338</v>
      </c>
      <c r="AO604" t="s">
        <v>9734</v>
      </c>
      <c r="AP604" t="s">
        <v>9735</v>
      </c>
      <c r="AQ604" t="s">
        <v>74</v>
      </c>
      <c r="AR604" t="s">
        <v>9736</v>
      </c>
      <c r="AS604" t="s">
        <v>9737</v>
      </c>
      <c r="AT604" t="s">
        <v>9716</v>
      </c>
      <c r="AU604">
        <v>2007</v>
      </c>
      <c r="AV604">
        <v>55</v>
      </c>
      <c r="AW604">
        <v>5</v>
      </c>
      <c r="AX604" t="s">
        <v>74</v>
      </c>
      <c r="AY604" t="s">
        <v>74</v>
      </c>
      <c r="AZ604" t="s">
        <v>74</v>
      </c>
      <c r="BA604" t="s">
        <v>74</v>
      </c>
      <c r="BB604">
        <v>1814</v>
      </c>
      <c r="BC604">
        <v>1822</v>
      </c>
      <c r="BD604" t="s">
        <v>74</v>
      </c>
      <c r="BE604" t="s">
        <v>9738</v>
      </c>
      <c r="BF604" t="str">
        <f>HYPERLINK("http://dx.doi.org/10.1021/jf0629944","http://dx.doi.org/10.1021/jf0629944")</f>
        <v>http://dx.doi.org/10.1021/jf0629944</v>
      </c>
      <c r="BG604" t="s">
        <v>74</v>
      </c>
      <c r="BH604" t="s">
        <v>74</v>
      </c>
      <c r="BI604">
        <v>9</v>
      </c>
      <c r="BJ604" t="s">
        <v>9739</v>
      </c>
      <c r="BK604" t="s">
        <v>98</v>
      </c>
      <c r="BL604" t="s">
        <v>9740</v>
      </c>
      <c r="BM604" t="s">
        <v>9741</v>
      </c>
      <c r="BN604">
        <v>17295512</v>
      </c>
      <c r="BO604" t="s">
        <v>74</v>
      </c>
      <c r="BP604" t="s">
        <v>74</v>
      </c>
      <c r="BQ604" t="s">
        <v>74</v>
      </c>
      <c r="BR604" t="s">
        <v>101</v>
      </c>
      <c r="BS604" t="s">
        <v>9742</v>
      </c>
      <c r="BT604" t="str">
        <f>HYPERLINK("https%3A%2F%2Fwww.webofscience.com%2Fwos%2Fwoscc%2Ffull-record%2FWOS:000244496700025","View Full Record in Web of Science")</f>
        <v>View Full Record in Web of Science</v>
      </c>
    </row>
    <row r="605" spans="1:72" x14ac:dyDescent="0.15">
      <c r="A605" t="s">
        <v>72</v>
      </c>
      <c r="B605" t="s">
        <v>9743</v>
      </c>
      <c r="C605" t="s">
        <v>74</v>
      </c>
      <c r="D605" t="s">
        <v>74</v>
      </c>
      <c r="E605" t="s">
        <v>74</v>
      </c>
      <c r="F605" t="s">
        <v>9744</v>
      </c>
      <c r="G605" t="s">
        <v>74</v>
      </c>
      <c r="H605" t="s">
        <v>74</v>
      </c>
      <c r="I605" t="s">
        <v>9745</v>
      </c>
      <c r="J605" t="s">
        <v>416</v>
      </c>
      <c r="K605" t="s">
        <v>74</v>
      </c>
      <c r="L605" t="s">
        <v>74</v>
      </c>
      <c r="M605" t="s">
        <v>78</v>
      </c>
      <c r="N605" t="s">
        <v>79</v>
      </c>
      <c r="O605" t="s">
        <v>74</v>
      </c>
      <c r="P605" t="s">
        <v>74</v>
      </c>
      <c r="Q605" t="s">
        <v>74</v>
      </c>
      <c r="R605" t="s">
        <v>74</v>
      </c>
      <c r="S605" t="s">
        <v>74</v>
      </c>
      <c r="T605" t="s">
        <v>74</v>
      </c>
      <c r="U605" t="s">
        <v>9746</v>
      </c>
      <c r="V605" t="s">
        <v>9747</v>
      </c>
      <c r="W605" t="s">
        <v>9748</v>
      </c>
      <c r="X605" t="s">
        <v>9749</v>
      </c>
      <c r="Y605" t="s">
        <v>9750</v>
      </c>
      <c r="Z605" t="s">
        <v>9751</v>
      </c>
      <c r="AA605" t="s">
        <v>9752</v>
      </c>
      <c r="AB605" t="s">
        <v>9753</v>
      </c>
      <c r="AC605" t="s">
        <v>74</v>
      </c>
      <c r="AD605" t="s">
        <v>74</v>
      </c>
      <c r="AE605" t="s">
        <v>74</v>
      </c>
      <c r="AF605" t="s">
        <v>74</v>
      </c>
      <c r="AG605">
        <v>35</v>
      </c>
      <c r="AH605">
        <v>92</v>
      </c>
      <c r="AI605">
        <v>99</v>
      </c>
      <c r="AJ605">
        <v>1</v>
      </c>
      <c r="AK605">
        <v>14</v>
      </c>
      <c r="AL605" t="s">
        <v>141</v>
      </c>
      <c r="AM605" t="s">
        <v>142</v>
      </c>
      <c r="AN605" t="s">
        <v>143</v>
      </c>
      <c r="AO605" t="s">
        <v>427</v>
      </c>
      <c r="AP605" t="s">
        <v>428</v>
      </c>
      <c r="AQ605" t="s">
        <v>74</v>
      </c>
      <c r="AR605" t="s">
        <v>429</v>
      </c>
      <c r="AS605" t="s">
        <v>430</v>
      </c>
      <c r="AT605" t="s">
        <v>9754</v>
      </c>
      <c r="AU605">
        <v>2007</v>
      </c>
      <c r="AV605">
        <v>112</v>
      </c>
      <c r="AW605" t="s">
        <v>9755</v>
      </c>
      <c r="AX605" t="s">
        <v>74</v>
      </c>
      <c r="AY605" t="s">
        <v>74</v>
      </c>
      <c r="AZ605" t="s">
        <v>74</v>
      </c>
      <c r="BA605" t="s">
        <v>74</v>
      </c>
      <c r="BB605" t="s">
        <v>74</v>
      </c>
      <c r="BC605" t="s">
        <v>74</v>
      </c>
      <c r="BD605" t="s">
        <v>9756</v>
      </c>
      <c r="BE605" t="s">
        <v>9757</v>
      </c>
      <c r="BF605" t="str">
        <f>HYPERLINK("http://dx.doi.org/10.1029/2006JD007504","http://dx.doi.org/10.1029/2006JD007504")</f>
        <v>http://dx.doi.org/10.1029/2006JD007504</v>
      </c>
      <c r="BG605" t="s">
        <v>74</v>
      </c>
      <c r="BH605" t="s">
        <v>74</v>
      </c>
      <c r="BI605">
        <v>12</v>
      </c>
      <c r="BJ605" t="s">
        <v>435</v>
      </c>
      <c r="BK605" t="s">
        <v>98</v>
      </c>
      <c r="BL605" t="s">
        <v>435</v>
      </c>
      <c r="BM605" t="s">
        <v>9758</v>
      </c>
      <c r="BN605" t="s">
        <v>74</v>
      </c>
      <c r="BO605" t="s">
        <v>154</v>
      </c>
      <c r="BP605" t="s">
        <v>74</v>
      </c>
      <c r="BQ605" t="s">
        <v>74</v>
      </c>
      <c r="BR605" t="s">
        <v>101</v>
      </c>
      <c r="BS605" t="s">
        <v>9759</v>
      </c>
      <c r="BT605" t="str">
        <f>HYPERLINK("https%3A%2F%2Fwww.webofscience.com%2Fwos%2Fwoscc%2Ffull-record%2FWOS:000244708200003","View Full Record in Web of Science")</f>
        <v>View Full Record in Web of Science</v>
      </c>
    </row>
    <row r="606" spans="1:72" x14ac:dyDescent="0.15">
      <c r="A606" t="s">
        <v>72</v>
      </c>
      <c r="B606" t="s">
        <v>9760</v>
      </c>
      <c r="C606" t="s">
        <v>74</v>
      </c>
      <c r="D606" t="s">
        <v>74</v>
      </c>
      <c r="E606" t="s">
        <v>74</v>
      </c>
      <c r="F606" t="s">
        <v>9761</v>
      </c>
      <c r="G606" t="s">
        <v>74</v>
      </c>
      <c r="H606" t="s">
        <v>74</v>
      </c>
      <c r="I606" t="s">
        <v>9762</v>
      </c>
      <c r="J606" t="s">
        <v>416</v>
      </c>
      <c r="K606" t="s">
        <v>74</v>
      </c>
      <c r="L606" t="s">
        <v>74</v>
      </c>
      <c r="M606" t="s">
        <v>78</v>
      </c>
      <c r="N606" t="s">
        <v>79</v>
      </c>
      <c r="O606" t="s">
        <v>74</v>
      </c>
      <c r="P606" t="s">
        <v>74</v>
      </c>
      <c r="Q606" t="s">
        <v>74</v>
      </c>
      <c r="R606" t="s">
        <v>74</v>
      </c>
      <c r="S606" t="s">
        <v>74</v>
      </c>
      <c r="T606" t="s">
        <v>74</v>
      </c>
      <c r="U606" t="s">
        <v>9763</v>
      </c>
      <c r="V606" t="s">
        <v>9764</v>
      </c>
      <c r="W606" t="s">
        <v>9765</v>
      </c>
      <c r="X606" t="s">
        <v>9766</v>
      </c>
      <c r="Y606" t="s">
        <v>9767</v>
      </c>
      <c r="Z606" t="s">
        <v>9768</v>
      </c>
      <c r="AA606" t="s">
        <v>9769</v>
      </c>
      <c r="AB606" t="s">
        <v>9770</v>
      </c>
      <c r="AC606" t="s">
        <v>74</v>
      </c>
      <c r="AD606" t="s">
        <v>74</v>
      </c>
      <c r="AE606" t="s">
        <v>74</v>
      </c>
      <c r="AF606" t="s">
        <v>74</v>
      </c>
      <c r="AG606">
        <v>49</v>
      </c>
      <c r="AH606">
        <v>29</v>
      </c>
      <c r="AI606">
        <v>31</v>
      </c>
      <c r="AJ606">
        <v>0</v>
      </c>
      <c r="AK606">
        <v>11</v>
      </c>
      <c r="AL606" t="s">
        <v>141</v>
      </c>
      <c r="AM606" t="s">
        <v>142</v>
      </c>
      <c r="AN606" t="s">
        <v>143</v>
      </c>
      <c r="AO606" t="s">
        <v>427</v>
      </c>
      <c r="AP606" t="s">
        <v>428</v>
      </c>
      <c r="AQ606" t="s">
        <v>74</v>
      </c>
      <c r="AR606" t="s">
        <v>429</v>
      </c>
      <c r="AS606" t="s">
        <v>430</v>
      </c>
      <c r="AT606" t="s">
        <v>9754</v>
      </c>
      <c r="AU606">
        <v>2007</v>
      </c>
      <c r="AV606">
        <v>112</v>
      </c>
      <c r="AW606" t="s">
        <v>9755</v>
      </c>
      <c r="AX606" t="s">
        <v>74</v>
      </c>
      <c r="AY606" t="s">
        <v>74</v>
      </c>
      <c r="AZ606" t="s">
        <v>74</v>
      </c>
      <c r="BA606" t="s">
        <v>74</v>
      </c>
      <c r="BB606" t="s">
        <v>74</v>
      </c>
      <c r="BC606" t="s">
        <v>74</v>
      </c>
      <c r="BD606" t="s">
        <v>9771</v>
      </c>
      <c r="BE606" t="s">
        <v>9772</v>
      </c>
      <c r="BF606" t="str">
        <f>HYPERLINK("http://dx.doi.org/10.1029/2006JD007064","http://dx.doi.org/10.1029/2006JD007064")</f>
        <v>http://dx.doi.org/10.1029/2006JD007064</v>
      </c>
      <c r="BG606" t="s">
        <v>74</v>
      </c>
      <c r="BH606" t="s">
        <v>74</v>
      </c>
      <c r="BI606">
        <v>12</v>
      </c>
      <c r="BJ606" t="s">
        <v>435</v>
      </c>
      <c r="BK606" t="s">
        <v>98</v>
      </c>
      <c r="BL606" t="s">
        <v>435</v>
      </c>
      <c r="BM606" t="s">
        <v>9758</v>
      </c>
      <c r="BN606" t="s">
        <v>74</v>
      </c>
      <c r="BO606" t="s">
        <v>198</v>
      </c>
      <c r="BP606" t="s">
        <v>74</v>
      </c>
      <c r="BQ606" t="s">
        <v>74</v>
      </c>
      <c r="BR606" t="s">
        <v>101</v>
      </c>
      <c r="BS606" t="s">
        <v>9773</v>
      </c>
      <c r="BT606" t="str">
        <f>HYPERLINK("https%3A%2F%2Fwww.webofscience.com%2Fwos%2Fwoscc%2Ffull-record%2FWOS:000244708200002","View Full Record in Web of Science")</f>
        <v>View Full Record in Web of Science</v>
      </c>
    </row>
    <row r="607" spans="1:72" x14ac:dyDescent="0.15">
      <c r="A607" t="s">
        <v>72</v>
      </c>
      <c r="B607" t="s">
        <v>9774</v>
      </c>
      <c r="C607" t="s">
        <v>74</v>
      </c>
      <c r="D607" t="s">
        <v>74</v>
      </c>
      <c r="E607" t="s">
        <v>74</v>
      </c>
      <c r="F607" t="s">
        <v>9775</v>
      </c>
      <c r="G607" t="s">
        <v>74</v>
      </c>
      <c r="H607" t="s">
        <v>74</v>
      </c>
      <c r="I607" t="s">
        <v>9776</v>
      </c>
      <c r="J607" t="s">
        <v>130</v>
      </c>
      <c r="K607" t="s">
        <v>74</v>
      </c>
      <c r="L607" t="s">
        <v>74</v>
      </c>
      <c r="M607" t="s">
        <v>78</v>
      </c>
      <c r="N607" t="s">
        <v>79</v>
      </c>
      <c r="O607" t="s">
        <v>74</v>
      </c>
      <c r="P607" t="s">
        <v>74</v>
      </c>
      <c r="Q607" t="s">
        <v>74</v>
      </c>
      <c r="R607" t="s">
        <v>74</v>
      </c>
      <c r="S607" t="s">
        <v>74</v>
      </c>
      <c r="T607" t="s">
        <v>74</v>
      </c>
      <c r="U607" t="s">
        <v>9777</v>
      </c>
      <c r="V607" t="s">
        <v>9778</v>
      </c>
      <c r="W607" t="s">
        <v>4380</v>
      </c>
      <c r="X607" t="s">
        <v>4381</v>
      </c>
      <c r="Y607" t="s">
        <v>9779</v>
      </c>
      <c r="Z607" t="s">
        <v>9780</v>
      </c>
      <c r="AA607" t="s">
        <v>9781</v>
      </c>
      <c r="AB607" t="s">
        <v>9782</v>
      </c>
      <c r="AC607" t="s">
        <v>74</v>
      </c>
      <c r="AD607" t="s">
        <v>74</v>
      </c>
      <c r="AE607" t="s">
        <v>74</v>
      </c>
      <c r="AF607" t="s">
        <v>74</v>
      </c>
      <c r="AG607">
        <v>21</v>
      </c>
      <c r="AH607">
        <v>14</v>
      </c>
      <c r="AI607">
        <v>16</v>
      </c>
      <c r="AJ607">
        <v>0</v>
      </c>
      <c r="AK607">
        <v>7</v>
      </c>
      <c r="AL607" t="s">
        <v>141</v>
      </c>
      <c r="AM607" t="s">
        <v>142</v>
      </c>
      <c r="AN607" t="s">
        <v>143</v>
      </c>
      <c r="AO607" t="s">
        <v>144</v>
      </c>
      <c r="AP607" t="s">
        <v>145</v>
      </c>
      <c r="AQ607" t="s">
        <v>74</v>
      </c>
      <c r="AR607" t="s">
        <v>146</v>
      </c>
      <c r="AS607" t="s">
        <v>147</v>
      </c>
      <c r="AT607" t="s">
        <v>9783</v>
      </c>
      <c r="AU607">
        <v>2007</v>
      </c>
      <c r="AV607">
        <v>34</v>
      </c>
      <c r="AW607">
        <v>5</v>
      </c>
      <c r="AX607" t="s">
        <v>74</v>
      </c>
      <c r="AY607" t="s">
        <v>74</v>
      </c>
      <c r="AZ607" t="s">
        <v>74</v>
      </c>
      <c r="BA607" t="s">
        <v>74</v>
      </c>
      <c r="BB607" t="s">
        <v>74</v>
      </c>
      <c r="BC607" t="s">
        <v>74</v>
      </c>
      <c r="BD607" t="s">
        <v>9784</v>
      </c>
      <c r="BE607" t="s">
        <v>9785</v>
      </c>
      <c r="BF607" t="str">
        <f>HYPERLINK("http://dx.doi.org/10.1029/2006GL028740","http://dx.doi.org/10.1029/2006GL028740")</f>
        <v>http://dx.doi.org/10.1029/2006GL028740</v>
      </c>
      <c r="BG607" t="s">
        <v>74</v>
      </c>
      <c r="BH607" t="s">
        <v>74</v>
      </c>
      <c r="BI607">
        <v>6</v>
      </c>
      <c r="BJ607" t="s">
        <v>151</v>
      </c>
      <c r="BK607" t="s">
        <v>98</v>
      </c>
      <c r="BL607" t="s">
        <v>152</v>
      </c>
      <c r="BM607" t="s">
        <v>9786</v>
      </c>
      <c r="BN607" t="s">
        <v>74</v>
      </c>
      <c r="BO607" t="s">
        <v>9787</v>
      </c>
      <c r="BP607" t="s">
        <v>74</v>
      </c>
      <c r="BQ607" t="s">
        <v>74</v>
      </c>
      <c r="BR607" t="s">
        <v>101</v>
      </c>
      <c r="BS607" t="s">
        <v>9788</v>
      </c>
      <c r="BT607" t="str">
        <f>HYPERLINK("https%3A%2F%2Fwww.webofscience.com%2Fwos%2Fwoscc%2Ffull-record%2FWOS:000244707200007","View Full Record in Web of Science")</f>
        <v>View Full Record in Web of Science</v>
      </c>
    </row>
    <row r="608" spans="1:72" x14ac:dyDescent="0.15">
      <c r="A608" t="s">
        <v>72</v>
      </c>
      <c r="B608" t="s">
        <v>9789</v>
      </c>
      <c r="C608" t="s">
        <v>74</v>
      </c>
      <c r="D608" t="s">
        <v>74</v>
      </c>
      <c r="E608" t="s">
        <v>74</v>
      </c>
      <c r="F608" t="s">
        <v>9790</v>
      </c>
      <c r="G608" t="s">
        <v>74</v>
      </c>
      <c r="H608" t="s">
        <v>74</v>
      </c>
      <c r="I608" t="s">
        <v>9791</v>
      </c>
      <c r="J608" t="s">
        <v>130</v>
      </c>
      <c r="K608" t="s">
        <v>74</v>
      </c>
      <c r="L608" t="s">
        <v>74</v>
      </c>
      <c r="M608" t="s">
        <v>78</v>
      </c>
      <c r="N608" t="s">
        <v>79</v>
      </c>
      <c r="O608" t="s">
        <v>74</v>
      </c>
      <c r="P608" t="s">
        <v>74</v>
      </c>
      <c r="Q608" t="s">
        <v>74</v>
      </c>
      <c r="R608" t="s">
        <v>74</v>
      </c>
      <c r="S608" t="s">
        <v>74</v>
      </c>
      <c r="T608" t="s">
        <v>74</v>
      </c>
      <c r="U608" t="s">
        <v>9792</v>
      </c>
      <c r="V608" t="s">
        <v>9793</v>
      </c>
      <c r="W608" t="s">
        <v>9794</v>
      </c>
      <c r="X608" t="s">
        <v>9795</v>
      </c>
      <c r="Y608" t="s">
        <v>9796</v>
      </c>
      <c r="Z608" t="s">
        <v>9797</v>
      </c>
      <c r="AA608" t="s">
        <v>9798</v>
      </c>
      <c r="AB608" t="s">
        <v>9799</v>
      </c>
      <c r="AC608" t="s">
        <v>74</v>
      </c>
      <c r="AD608" t="s">
        <v>74</v>
      </c>
      <c r="AE608" t="s">
        <v>74</v>
      </c>
      <c r="AF608" t="s">
        <v>74</v>
      </c>
      <c r="AG608">
        <v>25</v>
      </c>
      <c r="AH608">
        <v>26</v>
      </c>
      <c r="AI608">
        <v>28</v>
      </c>
      <c r="AJ608">
        <v>0</v>
      </c>
      <c r="AK608">
        <v>0</v>
      </c>
      <c r="AL608" t="s">
        <v>141</v>
      </c>
      <c r="AM608" t="s">
        <v>142</v>
      </c>
      <c r="AN608" t="s">
        <v>143</v>
      </c>
      <c r="AO608" t="s">
        <v>144</v>
      </c>
      <c r="AP608" t="s">
        <v>145</v>
      </c>
      <c r="AQ608" t="s">
        <v>74</v>
      </c>
      <c r="AR608" t="s">
        <v>146</v>
      </c>
      <c r="AS608" t="s">
        <v>147</v>
      </c>
      <c r="AT608" t="s">
        <v>9783</v>
      </c>
      <c r="AU608">
        <v>2007</v>
      </c>
      <c r="AV608">
        <v>34</v>
      </c>
      <c r="AW608">
        <v>5</v>
      </c>
      <c r="AX608" t="s">
        <v>74</v>
      </c>
      <c r="AY608" t="s">
        <v>74</v>
      </c>
      <c r="AZ608" t="s">
        <v>74</v>
      </c>
      <c r="BA608" t="s">
        <v>74</v>
      </c>
      <c r="BB608" t="s">
        <v>74</v>
      </c>
      <c r="BC608" t="s">
        <v>74</v>
      </c>
      <c r="BD608" t="s">
        <v>9800</v>
      </c>
      <c r="BE608" t="s">
        <v>9801</v>
      </c>
      <c r="BF608" t="str">
        <f>HYPERLINK("http://dx.doi.org/10.1029/2006GL028641","http://dx.doi.org/10.1029/2006GL028641")</f>
        <v>http://dx.doi.org/10.1029/2006GL028641</v>
      </c>
      <c r="BG608" t="s">
        <v>74</v>
      </c>
      <c r="BH608" t="s">
        <v>74</v>
      </c>
      <c r="BI608">
        <v>5</v>
      </c>
      <c r="BJ608" t="s">
        <v>151</v>
      </c>
      <c r="BK608" t="s">
        <v>98</v>
      </c>
      <c r="BL608" t="s">
        <v>152</v>
      </c>
      <c r="BM608" t="s">
        <v>9786</v>
      </c>
      <c r="BN608" t="s">
        <v>74</v>
      </c>
      <c r="BO608" t="s">
        <v>577</v>
      </c>
      <c r="BP608" t="s">
        <v>74</v>
      </c>
      <c r="BQ608" t="s">
        <v>74</v>
      </c>
      <c r="BR608" t="s">
        <v>101</v>
      </c>
      <c r="BS608" t="s">
        <v>9802</v>
      </c>
      <c r="BT608" t="str">
        <f>HYPERLINK("https%3A%2F%2Fwww.webofscience.com%2Fwos%2Fwoscc%2Ffull-record%2FWOS:000244707200005","View Full Record in Web of Science")</f>
        <v>View Full Record in Web of Science</v>
      </c>
    </row>
    <row r="609" spans="1:72" x14ac:dyDescent="0.15">
      <c r="A609" t="s">
        <v>72</v>
      </c>
      <c r="B609" t="s">
        <v>9803</v>
      </c>
      <c r="C609" t="s">
        <v>74</v>
      </c>
      <c r="D609" t="s">
        <v>74</v>
      </c>
      <c r="E609" t="s">
        <v>74</v>
      </c>
      <c r="F609" t="s">
        <v>9804</v>
      </c>
      <c r="G609" t="s">
        <v>74</v>
      </c>
      <c r="H609" t="s">
        <v>74</v>
      </c>
      <c r="I609" t="s">
        <v>9805</v>
      </c>
      <c r="J609" t="s">
        <v>9806</v>
      </c>
      <c r="K609" t="s">
        <v>74</v>
      </c>
      <c r="L609" t="s">
        <v>74</v>
      </c>
      <c r="M609" t="s">
        <v>78</v>
      </c>
      <c r="N609" t="s">
        <v>79</v>
      </c>
      <c r="O609" t="s">
        <v>74</v>
      </c>
      <c r="P609" t="s">
        <v>74</v>
      </c>
      <c r="Q609" t="s">
        <v>74</v>
      </c>
      <c r="R609" t="s">
        <v>74</v>
      </c>
      <c r="S609" t="s">
        <v>74</v>
      </c>
      <c r="T609" t="s">
        <v>9807</v>
      </c>
      <c r="U609" t="s">
        <v>9808</v>
      </c>
      <c r="V609" t="s">
        <v>9809</v>
      </c>
      <c r="W609" t="s">
        <v>9810</v>
      </c>
      <c r="X609" t="s">
        <v>9811</v>
      </c>
      <c r="Y609" t="s">
        <v>9812</v>
      </c>
      <c r="Z609" t="s">
        <v>9813</v>
      </c>
      <c r="AA609" t="s">
        <v>9814</v>
      </c>
      <c r="AB609" t="s">
        <v>9815</v>
      </c>
      <c r="AC609" t="s">
        <v>74</v>
      </c>
      <c r="AD609" t="s">
        <v>74</v>
      </c>
      <c r="AE609" t="s">
        <v>74</v>
      </c>
      <c r="AF609" t="s">
        <v>74</v>
      </c>
      <c r="AG609">
        <v>59</v>
      </c>
      <c r="AH609">
        <v>43</v>
      </c>
      <c r="AI609">
        <v>52</v>
      </c>
      <c r="AJ609">
        <v>0</v>
      </c>
      <c r="AK609">
        <v>15</v>
      </c>
      <c r="AL609" t="s">
        <v>3568</v>
      </c>
      <c r="AM609" t="s">
        <v>363</v>
      </c>
      <c r="AN609" t="s">
        <v>3569</v>
      </c>
      <c r="AO609" t="s">
        <v>9816</v>
      </c>
      <c r="AP609" t="s">
        <v>9817</v>
      </c>
      <c r="AQ609" t="s">
        <v>74</v>
      </c>
      <c r="AR609" t="s">
        <v>9818</v>
      </c>
      <c r="AS609" t="s">
        <v>9819</v>
      </c>
      <c r="AT609" t="s">
        <v>9783</v>
      </c>
      <c r="AU609">
        <v>2007</v>
      </c>
      <c r="AV609">
        <v>366</v>
      </c>
      <c r="AW609">
        <v>4</v>
      </c>
      <c r="AX609" t="s">
        <v>74</v>
      </c>
      <c r="AY609" t="s">
        <v>74</v>
      </c>
      <c r="AZ609" t="s">
        <v>74</v>
      </c>
      <c r="BA609" t="s">
        <v>74</v>
      </c>
      <c r="BB609">
        <v>1318</v>
      </c>
      <c r="BC609">
        <v>1331</v>
      </c>
      <c r="BD609" t="s">
        <v>74</v>
      </c>
      <c r="BE609" t="s">
        <v>9820</v>
      </c>
      <c r="BF609" t="str">
        <f>HYPERLINK("http://dx.doi.org/10.1016/j.jmb.2006.11.079","http://dx.doi.org/10.1016/j.jmb.2006.11.079")</f>
        <v>http://dx.doi.org/10.1016/j.jmb.2006.11.079</v>
      </c>
      <c r="BG609" t="s">
        <v>74</v>
      </c>
      <c r="BH609" t="s">
        <v>74</v>
      </c>
      <c r="BI609">
        <v>14</v>
      </c>
      <c r="BJ609" t="s">
        <v>2547</v>
      </c>
      <c r="BK609" t="s">
        <v>98</v>
      </c>
      <c r="BL609" t="s">
        <v>2547</v>
      </c>
      <c r="BM609" t="s">
        <v>9821</v>
      </c>
      <c r="BN609">
        <v>17198711</v>
      </c>
      <c r="BO609" t="s">
        <v>74</v>
      </c>
      <c r="BP609" t="s">
        <v>74</v>
      </c>
      <c r="BQ609" t="s">
        <v>74</v>
      </c>
      <c r="BR609" t="s">
        <v>101</v>
      </c>
      <c r="BS609" t="s">
        <v>9822</v>
      </c>
      <c r="BT609" t="str">
        <f>HYPERLINK("https%3A%2F%2Fwww.webofscience.com%2Fwos%2Fwoscc%2Ffull-record%2FWOS:000244649500022","View Full Record in Web of Science")</f>
        <v>View Full Record in Web of Science</v>
      </c>
    </row>
    <row r="610" spans="1:72" x14ac:dyDescent="0.15">
      <c r="A610" t="s">
        <v>72</v>
      </c>
      <c r="B610" t="s">
        <v>9823</v>
      </c>
      <c r="C610" t="s">
        <v>74</v>
      </c>
      <c r="D610" t="s">
        <v>74</v>
      </c>
      <c r="E610" t="s">
        <v>74</v>
      </c>
      <c r="F610" t="s">
        <v>9824</v>
      </c>
      <c r="G610" t="s">
        <v>74</v>
      </c>
      <c r="H610" t="s">
        <v>74</v>
      </c>
      <c r="I610" t="s">
        <v>9825</v>
      </c>
      <c r="J610" t="s">
        <v>9826</v>
      </c>
      <c r="K610" t="s">
        <v>74</v>
      </c>
      <c r="L610" t="s">
        <v>74</v>
      </c>
      <c r="M610" t="s">
        <v>78</v>
      </c>
      <c r="N610" t="s">
        <v>514</v>
      </c>
      <c r="O610" t="s">
        <v>9827</v>
      </c>
      <c r="P610" t="s">
        <v>9828</v>
      </c>
      <c r="Q610" t="s">
        <v>9829</v>
      </c>
      <c r="R610" t="s">
        <v>74</v>
      </c>
      <c r="S610" t="s">
        <v>74</v>
      </c>
      <c r="T610" t="s">
        <v>74</v>
      </c>
      <c r="U610" t="s">
        <v>9830</v>
      </c>
      <c r="V610" t="s">
        <v>9831</v>
      </c>
      <c r="W610" t="s">
        <v>9832</v>
      </c>
      <c r="X610" t="s">
        <v>9833</v>
      </c>
      <c r="Y610" t="s">
        <v>9834</v>
      </c>
      <c r="Z610" t="s">
        <v>9835</v>
      </c>
      <c r="AA610" t="s">
        <v>74</v>
      </c>
      <c r="AB610" t="s">
        <v>9836</v>
      </c>
      <c r="AC610" t="s">
        <v>74</v>
      </c>
      <c r="AD610" t="s">
        <v>74</v>
      </c>
      <c r="AE610" t="s">
        <v>74</v>
      </c>
      <c r="AF610" t="s">
        <v>74</v>
      </c>
      <c r="AG610">
        <v>93</v>
      </c>
      <c r="AH610">
        <v>72</v>
      </c>
      <c r="AI610">
        <v>85</v>
      </c>
      <c r="AJ610">
        <v>2</v>
      </c>
      <c r="AK610">
        <v>61</v>
      </c>
      <c r="AL610" t="s">
        <v>1202</v>
      </c>
      <c r="AM610" t="s">
        <v>1203</v>
      </c>
      <c r="AN610" t="s">
        <v>1204</v>
      </c>
      <c r="AO610" t="s">
        <v>9837</v>
      </c>
      <c r="AP610" t="s">
        <v>9838</v>
      </c>
      <c r="AQ610" t="s">
        <v>74</v>
      </c>
      <c r="AR610" t="s">
        <v>9839</v>
      </c>
      <c r="AS610" t="s">
        <v>9840</v>
      </c>
      <c r="AT610" t="s">
        <v>9841</v>
      </c>
      <c r="AU610">
        <v>2007</v>
      </c>
      <c r="AV610">
        <v>19</v>
      </c>
      <c r="AW610">
        <v>2</v>
      </c>
      <c r="AX610" t="s">
        <v>74</v>
      </c>
      <c r="AY610" t="s">
        <v>74</v>
      </c>
      <c r="AZ610" t="s">
        <v>74</v>
      </c>
      <c r="BA610" t="s">
        <v>74</v>
      </c>
      <c r="BB610">
        <v>155</v>
      </c>
      <c r="BC610">
        <v>164</v>
      </c>
      <c r="BD610" t="s">
        <v>74</v>
      </c>
      <c r="BE610" t="s">
        <v>9842</v>
      </c>
      <c r="BF610" t="str">
        <f>HYPERLINK("http://dx.doi.org/10.1002/ajhb.20627","http://dx.doi.org/10.1002/ajhb.20627")</f>
        <v>http://dx.doi.org/10.1002/ajhb.20627</v>
      </c>
      <c r="BG610" t="s">
        <v>74</v>
      </c>
      <c r="BH610" t="s">
        <v>74</v>
      </c>
      <c r="BI610">
        <v>10</v>
      </c>
      <c r="BJ610" t="s">
        <v>9843</v>
      </c>
      <c r="BK610" t="s">
        <v>9844</v>
      </c>
      <c r="BL610" t="s">
        <v>9845</v>
      </c>
      <c r="BM610" t="s">
        <v>9846</v>
      </c>
      <c r="BN610">
        <v>17286263</v>
      </c>
      <c r="BO610" t="s">
        <v>74</v>
      </c>
      <c r="BP610" t="s">
        <v>74</v>
      </c>
      <c r="BQ610" t="s">
        <v>74</v>
      </c>
      <c r="BR610" t="s">
        <v>101</v>
      </c>
      <c r="BS610" t="s">
        <v>9847</v>
      </c>
      <c r="BT610" t="str">
        <f>HYPERLINK("https%3A%2F%2Fwww.webofscience.com%2Fwos%2Fwoscc%2Ffull-record%2FWOS:000244547100001","View Full Record in Web of Science")</f>
        <v>View Full Record in Web of Science</v>
      </c>
    </row>
    <row r="611" spans="1:72" x14ac:dyDescent="0.15">
      <c r="A611" t="s">
        <v>72</v>
      </c>
      <c r="B611" t="s">
        <v>4846</v>
      </c>
      <c r="C611" t="s">
        <v>74</v>
      </c>
      <c r="D611" t="s">
        <v>74</v>
      </c>
      <c r="E611" t="s">
        <v>74</v>
      </c>
      <c r="F611" t="s">
        <v>4847</v>
      </c>
      <c r="G611" t="s">
        <v>74</v>
      </c>
      <c r="H611" t="s">
        <v>74</v>
      </c>
      <c r="I611" t="s">
        <v>9848</v>
      </c>
      <c r="J611" t="s">
        <v>4849</v>
      </c>
      <c r="K611" t="s">
        <v>74</v>
      </c>
      <c r="L611" t="s">
        <v>74</v>
      </c>
      <c r="M611" t="s">
        <v>78</v>
      </c>
      <c r="N611" t="s">
        <v>620</v>
      </c>
      <c r="O611" t="s">
        <v>74</v>
      </c>
      <c r="P611" t="s">
        <v>74</v>
      </c>
      <c r="Q611" t="s">
        <v>74</v>
      </c>
      <c r="R611" t="s">
        <v>74</v>
      </c>
      <c r="S611" t="s">
        <v>74</v>
      </c>
      <c r="T611" t="s">
        <v>74</v>
      </c>
      <c r="U611" t="s">
        <v>74</v>
      </c>
      <c r="V611" t="s">
        <v>74</v>
      </c>
      <c r="W611" t="s">
        <v>74</v>
      </c>
      <c r="X611" t="s">
        <v>74</v>
      </c>
      <c r="Y611" t="s">
        <v>74</v>
      </c>
      <c r="Z611" t="s">
        <v>74</v>
      </c>
      <c r="AA611" t="s">
        <v>74</v>
      </c>
      <c r="AB611" t="s">
        <v>4850</v>
      </c>
      <c r="AC611" t="s">
        <v>74</v>
      </c>
      <c r="AD611" t="s">
        <v>74</v>
      </c>
      <c r="AE611" t="s">
        <v>74</v>
      </c>
      <c r="AF611" t="s">
        <v>74</v>
      </c>
      <c r="AG611">
        <v>0</v>
      </c>
      <c r="AH611">
        <v>2</v>
      </c>
      <c r="AI611">
        <v>2</v>
      </c>
      <c r="AJ611">
        <v>0</v>
      </c>
      <c r="AK611">
        <v>1</v>
      </c>
      <c r="AL611" t="s">
        <v>4219</v>
      </c>
      <c r="AM611" t="s">
        <v>1593</v>
      </c>
      <c r="AN611" t="s">
        <v>4220</v>
      </c>
      <c r="AO611" t="s">
        <v>4851</v>
      </c>
      <c r="AP611" t="s">
        <v>74</v>
      </c>
      <c r="AQ611" t="s">
        <v>74</v>
      </c>
      <c r="AR611" t="s">
        <v>4852</v>
      </c>
      <c r="AS611" t="s">
        <v>4853</v>
      </c>
      <c r="AT611" t="s">
        <v>9849</v>
      </c>
      <c r="AU611">
        <v>2007</v>
      </c>
      <c r="AV611">
        <v>19</v>
      </c>
      <c r="AW611">
        <v>1</v>
      </c>
      <c r="AX611" t="s">
        <v>74</v>
      </c>
      <c r="AY611" t="s">
        <v>74</v>
      </c>
      <c r="AZ611" t="s">
        <v>74</v>
      </c>
      <c r="BA611" t="s">
        <v>74</v>
      </c>
      <c r="BB611">
        <v>1</v>
      </c>
      <c r="BC611">
        <v>1</v>
      </c>
      <c r="BD611" t="s">
        <v>74</v>
      </c>
      <c r="BE611" t="s">
        <v>9850</v>
      </c>
      <c r="BF611" t="str">
        <f>HYPERLINK("http://dx.doi.org/10.1017/S0954102007000016","http://dx.doi.org/10.1017/S0954102007000016")</f>
        <v>http://dx.doi.org/10.1017/S0954102007000016</v>
      </c>
      <c r="BG611" t="s">
        <v>74</v>
      </c>
      <c r="BH611" t="s">
        <v>74</v>
      </c>
      <c r="BI611">
        <v>1</v>
      </c>
      <c r="BJ611" t="s">
        <v>4855</v>
      </c>
      <c r="BK611" t="s">
        <v>98</v>
      </c>
      <c r="BL611" t="s">
        <v>4856</v>
      </c>
      <c r="BM611" t="s">
        <v>9851</v>
      </c>
      <c r="BN611" t="s">
        <v>74</v>
      </c>
      <c r="BO611" t="s">
        <v>154</v>
      </c>
      <c r="BP611" t="s">
        <v>74</v>
      </c>
      <c r="BQ611" t="s">
        <v>74</v>
      </c>
      <c r="BR611" t="s">
        <v>101</v>
      </c>
      <c r="BS611" t="s">
        <v>9852</v>
      </c>
      <c r="BT611" t="str">
        <f>HYPERLINK("https%3A%2F%2Fwww.webofscience.com%2Fwos%2Fwoscc%2Ffull-record%2FWOS:000244918600001","View Full Record in Web of Science")</f>
        <v>View Full Record in Web of Science</v>
      </c>
    </row>
    <row r="612" spans="1:72" x14ac:dyDescent="0.15">
      <c r="A612" t="s">
        <v>72</v>
      </c>
      <c r="B612" t="s">
        <v>9853</v>
      </c>
      <c r="C612" t="s">
        <v>74</v>
      </c>
      <c r="D612" t="s">
        <v>74</v>
      </c>
      <c r="E612" t="s">
        <v>74</v>
      </c>
      <c r="F612" t="s">
        <v>9854</v>
      </c>
      <c r="G612" t="s">
        <v>74</v>
      </c>
      <c r="H612" t="s">
        <v>74</v>
      </c>
      <c r="I612" t="s">
        <v>9855</v>
      </c>
      <c r="J612" t="s">
        <v>4849</v>
      </c>
      <c r="K612" t="s">
        <v>74</v>
      </c>
      <c r="L612" t="s">
        <v>74</v>
      </c>
      <c r="M612" t="s">
        <v>78</v>
      </c>
      <c r="N612" t="s">
        <v>79</v>
      </c>
      <c r="O612" t="s">
        <v>74</v>
      </c>
      <c r="P612" t="s">
        <v>74</v>
      </c>
      <c r="Q612" t="s">
        <v>74</v>
      </c>
      <c r="R612" t="s">
        <v>74</v>
      </c>
      <c r="S612" t="s">
        <v>74</v>
      </c>
      <c r="T612" t="s">
        <v>9856</v>
      </c>
      <c r="U612" t="s">
        <v>9857</v>
      </c>
      <c r="V612" t="s">
        <v>9858</v>
      </c>
      <c r="W612" t="s">
        <v>9859</v>
      </c>
      <c r="X612" t="s">
        <v>9860</v>
      </c>
      <c r="Y612" t="s">
        <v>9861</v>
      </c>
      <c r="Z612" t="s">
        <v>9862</v>
      </c>
      <c r="AA612" t="s">
        <v>9863</v>
      </c>
      <c r="AB612" t="s">
        <v>9864</v>
      </c>
      <c r="AC612" t="s">
        <v>4831</v>
      </c>
      <c r="AD612" t="s">
        <v>361</v>
      </c>
      <c r="AE612" t="s">
        <v>74</v>
      </c>
      <c r="AF612" t="s">
        <v>74</v>
      </c>
      <c r="AG612">
        <v>49</v>
      </c>
      <c r="AH612">
        <v>48</v>
      </c>
      <c r="AI612">
        <v>52</v>
      </c>
      <c r="AJ612">
        <v>0</v>
      </c>
      <c r="AK612">
        <v>13</v>
      </c>
      <c r="AL612" t="s">
        <v>4219</v>
      </c>
      <c r="AM612" t="s">
        <v>1593</v>
      </c>
      <c r="AN612" t="s">
        <v>4220</v>
      </c>
      <c r="AO612" t="s">
        <v>4851</v>
      </c>
      <c r="AP612" t="s">
        <v>4877</v>
      </c>
      <c r="AQ612" t="s">
        <v>74</v>
      </c>
      <c r="AR612" t="s">
        <v>4852</v>
      </c>
      <c r="AS612" t="s">
        <v>4853</v>
      </c>
      <c r="AT612" t="s">
        <v>9849</v>
      </c>
      <c r="AU612">
        <v>2007</v>
      </c>
      <c r="AV612">
        <v>19</v>
      </c>
      <c r="AW612">
        <v>1</v>
      </c>
      <c r="AX612" t="s">
        <v>74</v>
      </c>
      <c r="AY612" t="s">
        <v>74</v>
      </c>
      <c r="AZ612" t="s">
        <v>74</v>
      </c>
      <c r="BA612" t="s">
        <v>74</v>
      </c>
      <c r="BB612">
        <v>3</v>
      </c>
      <c r="BC612">
        <v>10</v>
      </c>
      <c r="BD612" t="s">
        <v>74</v>
      </c>
      <c r="BE612" t="s">
        <v>9865</v>
      </c>
      <c r="BF612" t="str">
        <f>HYPERLINK("http://dx.doi.org/10.1017/S0954102007000028","http://dx.doi.org/10.1017/S0954102007000028")</f>
        <v>http://dx.doi.org/10.1017/S0954102007000028</v>
      </c>
      <c r="BG612" t="s">
        <v>74</v>
      </c>
      <c r="BH612" t="s">
        <v>74</v>
      </c>
      <c r="BI612">
        <v>8</v>
      </c>
      <c r="BJ612" t="s">
        <v>4855</v>
      </c>
      <c r="BK612" t="s">
        <v>98</v>
      </c>
      <c r="BL612" t="s">
        <v>4856</v>
      </c>
      <c r="BM612" t="s">
        <v>9851</v>
      </c>
      <c r="BN612" t="s">
        <v>74</v>
      </c>
      <c r="BO612" t="s">
        <v>74</v>
      </c>
      <c r="BP612" t="s">
        <v>74</v>
      </c>
      <c r="BQ612" t="s">
        <v>74</v>
      </c>
      <c r="BR612" t="s">
        <v>101</v>
      </c>
      <c r="BS612" t="s">
        <v>9866</v>
      </c>
      <c r="BT612" t="str">
        <f>HYPERLINK("https%3A%2F%2Fwww.webofscience.com%2Fwos%2Fwoscc%2Ffull-record%2FWOS:000244918600002","View Full Record in Web of Science")</f>
        <v>View Full Record in Web of Science</v>
      </c>
    </row>
    <row r="613" spans="1:72" x14ac:dyDescent="0.15">
      <c r="A613" t="s">
        <v>72</v>
      </c>
      <c r="B613" t="s">
        <v>9867</v>
      </c>
      <c r="C613" t="s">
        <v>74</v>
      </c>
      <c r="D613" t="s">
        <v>74</v>
      </c>
      <c r="E613" t="s">
        <v>74</v>
      </c>
      <c r="F613" t="s">
        <v>9868</v>
      </c>
      <c r="G613" t="s">
        <v>74</v>
      </c>
      <c r="H613" t="s">
        <v>74</v>
      </c>
      <c r="I613" t="s">
        <v>9869</v>
      </c>
      <c r="J613" t="s">
        <v>4849</v>
      </c>
      <c r="K613" t="s">
        <v>74</v>
      </c>
      <c r="L613" t="s">
        <v>74</v>
      </c>
      <c r="M613" t="s">
        <v>78</v>
      </c>
      <c r="N613" t="s">
        <v>79</v>
      </c>
      <c r="O613" t="s">
        <v>74</v>
      </c>
      <c r="P613" t="s">
        <v>74</v>
      </c>
      <c r="Q613" t="s">
        <v>74</v>
      </c>
      <c r="R613" t="s">
        <v>74</v>
      </c>
      <c r="S613" t="s">
        <v>74</v>
      </c>
      <c r="T613" t="s">
        <v>9870</v>
      </c>
      <c r="U613" t="s">
        <v>9871</v>
      </c>
      <c r="V613" t="s">
        <v>9872</v>
      </c>
      <c r="W613" t="s">
        <v>9873</v>
      </c>
      <c r="X613" t="s">
        <v>9874</v>
      </c>
      <c r="Y613" t="s">
        <v>9875</v>
      </c>
      <c r="Z613" t="s">
        <v>9876</v>
      </c>
      <c r="AA613" t="s">
        <v>74</v>
      </c>
      <c r="AB613" t="s">
        <v>74</v>
      </c>
      <c r="AC613" t="s">
        <v>74</v>
      </c>
      <c r="AD613" t="s">
        <v>74</v>
      </c>
      <c r="AE613" t="s">
        <v>74</v>
      </c>
      <c r="AF613" t="s">
        <v>74</v>
      </c>
      <c r="AG613">
        <v>18</v>
      </c>
      <c r="AH613">
        <v>18</v>
      </c>
      <c r="AI613">
        <v>20</v>
      </c>
      <c r="AJ613">
        <v>0</v>
      </c>
      <c r="AK613">
        <v>13</v>
      </c>
      <c r="AL613" t="s">
        <v>4219</v>
      </c>
      <c r="AM613" t="s">
        <v>1593</v>
      </c>
      <c r="AN613" t="s">
        <v>4220</v>
      </c>
      <c r="AO613" t="s">
        <v>4851</v>
      </c>
      <c r="AP613" t="s">
        <v>74</v>
      </c>
      <c r="AQ613" t="s">
        <v>74</v>
      </c>
      <c r="AR613" t="s">
        <v>4852</v>
      </c>
      <c r="AS613" t="s">
        <v>4853</v>
      </c>
      <c r="AT613" t="s">
        <v>9849</v>
      </c>
      <c r="AU613">
        <v>2007</v>
      </c>
      <c r="AV613">
        <v>19</v>
      </c>
      <c r="AW613">
        <v>1</v>
      </c>
      <c r="AX613" t="s">
        <v>74</v>
      </c>
      <c r="AY613" t="s">
        <v>74</v>
      </c>
      <c r="AZ613" t="s">
        <v>74</v>
      </c>
      <c r="BA613" t="s">
        <v>74</v>
      </c>
      <c r="BB613">
        <v>11</v>
      </c>
      <c r="BC613">
        <v>16</v>
      </c>
      <c r="BD613" t="s">
        <v>74</v>
      </c>
      <c r="BE613" t="s">
        <v>9877</v>
      </c>
      <c r="BF613" t="str">
        <f>HYPERLINK("http://dx.doi.org/10.1017/S095410200700003X","http://dx.doi.org/10.1017/S095410200700003X")</f>
        <v>http://dx.doi.org/10.1017/S095410200700003X</v>
      </c>
      <c r="BG613" t="s">
        <v>74</v>
      </c>
      <c r="BH613" t="s">
        <v>74</v>
      </c>
      <c r="BI613">
        <v>6</v>
      </c>
      <c r="BJ613" t="s">
        <v>4855</v>
      </c>
      <c r="BK613" t="s">
        <v>98</v>
      </c>
      <c r="BL613" t="s">
        <v>4856</v>
      </c>
      <c r="BM613" t="s">
        <v>9851</v>
      </c>
      <c r="BN613" t="s">
        <v>74</v>
      </c>
      <c r="BO613" t="s">
        <v>74</v>
      </c>
      <c r="BP613" t="s">
        <v>74</v>
      </c>
      <c r="BQ613" t="s">
        <v>74</v>
      </c>
      <c r="BR613" t="s">
        <v>101</v>
      </c>
      <c r="BS613" t="s">
        <v>9878</v>
      </c>
      <c r="BT613" t="str">
        <f>HYPERLINK("https%3A%2F%2Fwww.webofscience.com%2Fwos%2Fwoscc%2Ffull-record%2FWOS:000244918600003","View Full Record in Web of Science")</f>
        <v>View Full Record in Web of Science</v>
      </c>
    </row>
    <row r="614" spans="1:72" x14ac:dyDescent="0.15">
      <c r="A614" t="s">
        <v>72</v>
      </c>
      <c r="B614" t="s">
        <v>9879</v>
      </c>
      <c r="C614" t="s">
        <v>74</v>
      </c>
      <c r="D614" t="s">
        <v>74</v>
      </c>
      <c r="E614" t="s">
        <v>74</v>
      </c>
      <c r="F614" t="s">
        <v>9880</v>
      </c>
      <c r="G614" t="s">
        <v>74</v>
      </c>
      <c r="H614" t="s">
        <v>74</v>
      </c>
      <c r="I614" t="s">
        <v>9881</v>
      </c>
      <c r="J614" t="s">
        <v>4849</v>
      </c>
      <c r="K614" t="s">
        <v>74</v>
      </c>
      <c r="L614" t="s">
        <v>74</v>
      </c>
      <c r="M614" t="s">
        <v>78</v>
      </c>
      <c r="N614" t="s">
        <v>79</v>
      </c>
      <c r="O614" t="s">
        <v>74</v>
      </c>
      <c r="P614" t="s">
        <v>74</v>
      </c>
      <c r="Q614" t="s">
        <v>74</v>
      </c>
      <c r="R614" t="s">
        <v>74</v>
      </c>
      <c r="S614" t="s">
        <v>74</v>
      </c>
      <c r="T614" t="s">
        <v>9882</v>
      </c>
      <c r="U614" t="s">
        <v>9883</v>
      </c>
      <c r="V614" t="s">
        <v>9884</v>
      </c>
      <c r="W614" t="s">
        <v>9885</v>
      </c>
      <c r="X614" t="s">
        <v>9886</v>
      </c>
      <c r="Y614" t="s">
        <v>9887</v>
      </c>
      <c r="Z614" t="s">
        <v>9888</v>
      </c>
      <c r="AA614" t="s">
        <v>74</v>
      </c>
      <c r="AB614" t="s">
        <v>9889</v>
      </c>
      <c r="AC614" t="s">
        <v>74</v>
      </c>
      <c r="AD614" t="s">
        <v>74</v>
      </c>
      <c r="AE614" t="s">
        <v>74</v>
      </c>
      <c r="AF614" t="s">
        <v>74</v>
      </c>
      <c r="AG614">
        <v>40</v>
      </c>
      <c r="AH614">
        <v>31</v>
      </c>
      <c r="AI614">
        <v>33</v>
      </c>
      <c r="AJ614">
        <v>1</v>
      </c>
      <c r="AK614">
        <v>17</v>
      </c>
      <c r="AL614" t="s">
        <v>4219</v>
      </c>
      <c r="AM614" t="s">
        <v>1593</v>
      </c>
      <c r="AN614" t="s">
        <v>4220</v>
      </c>
      <c r="AO614" t="s">
        <v>4851</v>
      </c>
      <c r="AP614" t="s">
        <v>74</v>
      </c>
      <c r="AQ614" t="s">
        <v>74</v>
      </c>
      <c r="AR614" t="s">
        <v>4852</v>
      </c>
      <c r="AS614" t="s">
        <v>4853</v>
      </c>
      <c r="AT614" t="s">
        <v>9849</v>
      </c>
      <c r="AU614">
        <v>2007</v>
      </c>
      <c r="AV614">
        <v>19</v>
      </c>
      <c r="AW614">
        <v>1</v>
      </c>
      <c r="AX614" t="s">
        <v>74</v>
      </c>
      <c r="AY614" t="s">
        <v>74</v>
      </c>
      <c r="AZ614" t="s">
        <v>74</v>
      </c>
      <c r="BA614" t="s">
        <v>74</v>
      </c>
      <c r="BB614">
        <v>17</v>
      </c>
      <c r="BC614">
        <v>24</v>
      </c>
      <c r="BD614" t="s">
        <v>74</v>
      </c>
      <c r="BE614" t="s">
        <v>9890</v>
      </c>
      <c r="BF614" t="str">
        <f>HYPERLINK("http://dx.doi.org/10.1017/S0954102007000041","http://dx.doi.org/10.1017/S0954102007000041")</f>
        <v>http://dx.doi.org/10.1017/S0954102007000041</v>
      </c>
      <c r="BG614" t="s">
        <v>74</v>
      </c>
      <c r="BH614" t="s">
        <v>74</v>
      </c>
      <c r="BI614">
        <v>8</v>
      </c>
      <c r="BJ614" t="s">
        <v>4855</v>
      </c>
      <c r="BK614" t="s">
        <v>98</v>
      </c>
      <c r="BL614" t="s">
        <v>4856</v>
      </c>
      <c r="BM614" t="s">
        <v>9851</v>
      </c>
      <c r="BN614" t="s">
        <v>74</v>
      </c>
      <c r="BO614" t="s">
        <v>74</v>
      </c>
      <c r="BP614" t="s">
        <v>74</v>
      </c>
      <c r="BQ614" t="s">
        <v>74</v>
      </c>
      <c r="BR614" t="s">
        <v>101</v>
      </c>
      <c r="BS614" t="s">
        <v>9891</v>
      </c>
      <c r="BT614" t="str">
        <f>HYPERLINK("https%3A%2F%2Fwww.webofscience.com%2Fwos%2Fwoscc%2Ffull-record%2FWOS:000244918600004","View Full Record in Web of Science")</f>
        <v>View Full Record in Web of Science</v>
      </c>
    </row>
    <row r="615" spans="1:72" x14ac:dyDescent="0.15">
      <c r="A615" t="s">
        <v>72</v>
      </c>
      <c r="B615" t="s">
        <v>9892</v>
      </c>
      <c r="C615" t="s">
        <v>74</v>
      </c>
      <c r="D615" t="s">
        <v>74</v>
      </c>
      <c r="E615" t="s">
        <v>74</v>
      </c>
      <c r="F615" t="s">
        <v>9893</v>
      </c>
      <c r="G615" t="s">
        <v>74</v>
      </c>
      <c r="H615" t="s">
        <v>74</v>
      </c>
      <c r="I615" t="s">
        <v>9894</v>
      </c>
      <c r="J615" t="s">
        <v>4849</v>
      </c>
      <c r="K615" t="s">
        <v>74</v>
      </c>
      <c r="L615" t="s">
        <v>74</v>
      </c>
      <c r="M615" t="s">
        <v>78</v>
      </c>
      <c r="N615" t="s">
        <v>79</v>
      </c>
      <c r="O615" t="s">
        <v>74</v>
      </c>
      <c r="P615" t="s">
        <v>74</v>
      </c>
      <c r="Q615" t="s">
        <v>74</v>
      </c>
      <c r="R615" t="s">
        <v>74</v>
      </c>
      <c r="S615" t="s">
        <v>74</v>
      </c>
      <c r="T615" t="s">
        <v>9895</v>
      </c>
      <c r="U615" t="s">
        <v>9896</v>
      </c>
      <c r="V615" t="s">
        <v>9897</v>
      </c>
      <c r="W615" t="s">
        <v>9898</v>
      </c>
      <c r="X615" t="s">
        <v>9899</v>
      </c>
      <c r="Y615" t="s">
        <v>9900</v>
      </c>
      <c r="Z615" t="s">
        <v>9901</v>
      </c>
      <c r="AA615" t="s">
        <v>9902</v>
      </c>
      <c r="AB615" t="s">
        <v>9903</v>
      </c>
      <c r="AC615" t="s">
        <v>74</v>
      </c>
      <c r="AD615" t="s">
        <v>74</v>
      </c>
      <c r="AE615" t="s">
        <v>74</v>
      </c>
      <c r="AF615" t="s">
        <v>74</v>
      </c>
      <c r="AG615">
        <v>34</v>
      </c>
      <c r="AH615">
        <v>12</v>
      </c>
      <c r="AI615">
        <v>15</v>
      </c>
      <c r="AJ615">
        <v>0</v>
      </c>
      <c r="AK615">
        <v>5</v>
      </c>
      <c r="AL615" t="s">
        <v>4219</v>
      </c>
      <c r="AM615" t="s">
        <v>1593</v>
      </c>
      <c r="AN615" t="s">
        <v>4220</v>
      </c>
      <c r="AO615" t="s">
        <v>4851</v>
      </c>
      <c r="AP615" t="s">
        <v>4877</v>
      </c>
      <c r="AQ615" t="s">
        <v>74</v>
      </c>
      <c r="AR615" t="s">
        <v>4852</v>
      </c>
      <c r="AS615" t="s">
        <v>4853</v>
      </c>
      <c r="AT615" t="s">
        <v>9849</v>
      </c>
      <c r="AU615">
        <v>2007</v>
      </c>
      <c r="AV615">
        <v>19</v>
      </c>
      <c r="AW615">
        <v>1</v>
      </c>
      <c r="AX615" t="s">
        <v>74</v>
      </c>
      <c r="AY615" t="s">
        <v>74</v>
      </c>
      <c r="AZ615" t="s">
        <v>74</v>
      </c>
      <c r="BA615" t="s">
        <v>74</v>
      </c>
      <c r="BB615">
        <v>25</v>
      </c>
      <c r="BC615">
        <v>30</v>
      </c>
      <c r="BD615" t="s">
        <v>74</v>
      </c>
      <c r="BE615" t="s">
        <v>9904</v>
      </c>
      <c r="BF615" t="str">
        <f>HYPERLINK("http://dx.doi.org/10.1017/S0954102007000053","http://dx.doi.org/10.1017/S0954102007000053")</f>
        <v>http://dx.doi.org/10.1017/S0954102007000053</v>
      </c>
      <c r="BG615" t="s">
        <v>74</v>
      </c>
      <c r="BH615" t="s">
        <v>74</v>
      </c>
      <c r="BI615">
        <v>6</v>
      </c>
      <c r="BJ615" t="s">
        <v>4855</v>
      </c>
      <c r="BK615" t="s">
        <v>98</v>
      </c>
      <c r="BL615" t="s">
        <v>4856</v>
      </c>
      <c r="BM615" t="s">
        <v>9851</v>
      </c>
      <c r="BN615" t="s">
        <v>74</v>
      </c>
      <c r="BO615" t="s">
        <v>74</v>
      </c>
      <c r="BP615" t="s">
        <v>74</v>
      </c>
      <c r="BQ615" t="s">
        <v>74</v>
      </c>
      <c r="BR615" t="s">
        <v>101</v>
      </c>
      <c r="BS615" t="s">
        <v>9905</v>
      </c>
      <c r="BT615" t="str">
        <f>HYPERLINK("https%3A%2F%2Fwww.webofscience.com%2Fwos%2Fwoscc%2Ffull-record%2FWOS:000244918600005","View Full Record in Web of Science")</f>
        <v>View Full Record in Web of Science</v>
      </c>
    </row>
    <row r="616" spans="1:72" x14ac:dyDescent="0.15">
      <c r="A616" t="s">
        <v>72</v>
      </c>
      <c r="B616" t="s">
        <v>9906</v>
      </c>
      <c r="C616" t="s">
        <v>74</v>
      </c>
      <c r="D616" t="s">
        <v>74</v>
      </c>
      <c r="E616" t="s">
        <v>74</v>
      </c>
      <c r="F616" t="s">
        <v>9907</v>
      </c>
      <c r="G616" t="s">
        <v>74</v>
      </c>
      <c r="H616" t="s">
        <v>74</v>
      </c>
      <c r="I616" t="s">
        <v>9908</v>
      </c>
      <c r="J616" t="s">
        <v>4849</v>
      </c>
      <c r="K616" t="s">
        <v>74</v>
      </c>
      <c r="L616" t="s">
        <v>74</v>
      </c>
      <c r="M616" t="s">
        <v>78</v>
      </c>
      <c r="N616" t="s">
        <v>79</v>
      </c>
      <c r="O616" t="s">
        <v>74</v>
      </c>
      <c r="P616" t="s">
        <v>74</v>
      </c>
      <c r="Q616" t="s">
        <v>74</v>
      </c>
      <c r="R616" t="s">
        <v>74</v>
      </c>
      <c r="S616" t="s">
        <v>74</v>
      </c>
      <c r="T616" t="s">
        <v>9909</v>
      </c>
      <c r="U616" t="s">
        <v>9910</v>
      </c>
      <c r="V616" t="s">
        <v>9911</v>
      </c>
      <c r="W616" t="s">
        <v>9912</v>
      </c>
      <c r="X616" t="s">
        <v>9913</v>
      </c>
      <c r="Y616" t="s">
        <v>9914</v>
      </c>
      <c r="Z616" t="s">
        <v>9915</v>
      </c>
      <c r="AA616" t="s">
        <v>74</v>
      </c>
      <c r="AB616" t="s">
        <v>9916</v>
      </c>
      <c r="AC616" t="s">
        <v>74</v>
      </c>
      <c r="AD616" t="s">
        <v>74</v>
      </c>
      <c r="AE616" t="s">
        <v>74</v>
      </c>
      <c r="AF616" t="s">
        <v>74</v>
      </c>
      <c r="AG616">
        <v>22</v>
      </c>
      <c r="AH616">
        <v>44</v>
      </c>
      <c r="AI616">
        <v>45</v>
      </c>
      <c r="AJ616">
        <v>1</v>
      </c>
      <c r="AK616">
        <v>25</v>
      </c>
      <c r="AL616" t="s">
        <v>4219</v>
      </c>
      <c r="AM616" t="s">
        <v>1593</v>
      </c>
      <c r="AN616" t="s">
        <v>4220</v>
      </c>
      <c r="AO616" t="s">
        <v>4851</v>
      </c>
      <c r="AP616" t="s">
        <v>4877</v>
      </c>
      <c r="AQ616" t="s">
        <v>74</v>
      </c>
      <c r="AR616" t="s">
        <v>4852</v>
      </c>
      <c r="AS616" t="s">
        <v>4853</v>
      </c>
      <c r="AT616" t="s">
        <v>9849</v>
      </c>
      <c r="AU616">
        <v>2007</v>
      </c>
      <c r="AV616">
        <v>19</v>
      </c>
      <c r="AW616">
        <v>1</v>
      </c>
      <c r="AX616" t="s">
        <v>74</v>
      </c>
      <c r="AY616" t="s">
        <v>74</v>
      </c>
      <c r="AZ616" t="s">
        <v>74</v>
      </c>
      <c r="BA616" t="s">
        <v>74</v>
      </c>
      <c r="BB616">
        <v>31</v>
      </c>
      <c r="BC616">
        <v>38</v>
      </c>
      <c r="BD616" t="s">
        <v>74</v>
      </c>
      <c r="BE616" t="s">
        <v>9917</v>
      </c>
      <c r="BF616" t="str">
        <f>HYPERLINK("http://dx.doi.org/10.1017/S0954102007000065","http://dx.doi.org/10.1017/S0954102007000065")</f>
        <v>http://dx.doi.org/10.1017/S0954102007000065</v>
      </c>
      <c r="BG616" t="s">
        <v>74</v>
      </c>
      <c r="BH616" t="s">
        <v>74</v>
      </c>
      <c r="BI616">
        <v>8</v>
      </c>
      <c r="BJ616" t="s">
        <v>4855</v>
      </c>
      <c r="BK616" t="s">
        <v>98</v>
      </c>
      <c r="BL616" t="s">
        <v>4856</v>
      </c>
      <c r="BM616" t="s">
        <v>9851</v>
      </c>
      <c r="BN616" t="s">
        <v>74</v>
      </c>
      <c r="BO616" t="s">
        <v>74</v>
      </c>
      <c r="BP616" t="s">
        <v>74</v>
      </c>
      <c r="BQ616" t="s">
        <v>74</v>
      </c>
      <c r="BR616" t="s">
        <v>101</v>
      </c>
      <c r="BS616" t="s">
        <v>9918</v>
      </c>
      <c r="BT616" t="str">
        <f>HYPERLINK("https%3A%2F%2Fwww.webofscience.com%2Fwos%2Fwoscc%2Ffull-record%2FWOS:000244918600006","View Full Record in Web of Science")</f>
        <v>View Full Record in Web of Science</v>
      </c>
    </row>
    <row r="617" spans="1:72" x14ac:dyDescent="0.15">
      <c r="A617" t="s">
        <v>72</v>
      </c>
      <c r="B617" t="s">
        <v>9919</v>
      </c>
      <c r="C617" t="s">
        <v>74</v>
      </c>
      <c r="D617" t="s">
        <v>74</v>
      </c>
      <c r="E617" t="s">
        <v>74</v>
      </c>
      <c r="F617" t="s">
        <v>9920</v>
      </c>
      <c r="G617" t="s">
        <v>74</v>
      </c>
      <c r="H617" t="s">
        <v>74</v>
      </c>
      <c r="I617" t="s">
        <v>9921</v>
      </c>
      <c r="J617" t="s">
        <v>4849</v>
      </c>
      <c r="K617" t="s">
        <v>74</v>
      </c>
      <c r="L617" t="s">
        <v>74</v>
      </c>
      <c r="M617" t="s">
        <v>78</v>
      </c>
      <c r="N617" t="s">
        <v>79</v>
      </c>
      <c r="O617" t="s">
        <v>74</v>
      </c>
      <c r="P617" t="s">
        <v>74</v>
      </c>
      <c r="Q617" t="s">
        <v>74</v>
      </c>
      <c r="R617" t="s">
        <v>74</v>
      </c>
      <c r="S617" t="s">
        <v>74</v>
      </c>
      <c r="T617" t="s">
        <v>9922</v>
      </c>
      <c r="U617" t="s">
        <v>9923</v>
      </c>
      <c r="V617" t="s">
        <v>9924</v>
      </c>
      <c r="W617" t="s">
        <v>9925</v>
      </c>
      <c r="X617" t="s">
        <v>9926</v>
      </c>
      <c r="Y617" t="s">
        <v>9927</v>
      </c>
      <c r="Z617" t="s">
        <v>9928</v>
      </c>
      <c r="AA617" t="s">
        <v>9929</v>
      </c>
      <c r="AB617" t="s">
        <v>9930</v>
      </c>
      <c r="AC617" t="s">
        <v>74</v>
      </c>
      <c r="AD617" t="s">
        <v>74</v>
      </c>
      <c r="AE617" t="s">
        <v>74</v>
      </c>
      <c r="AF617" t="s">
        <v>74</v>
      </c>
      <c r="AG617">
        <v>91</v>
      </c>
      <c r="AH617">
        <v>89</v>
      </c>
      <c r="AI617">
        <v>100</v>
      </c>
      <c r="AJ617">
        <v>0</v>
      </c>
      <c r="AK617">
        <v>51</v>
      </c>
      <c r="AL617" t="s">
        <v>4219</v>
      </c>
      <c r="AM617" t="s">
        <v>1593</v>
      </c>
      <c r="AN617" t="s">
        <v>4220</v>
      </c>
      <c r="AO617" t="s">
        <v>4851</v>
      </c>
      <c r="AP617" t="s">
        <v>4877</v>
      </c>
      <c r="AQ617" t="s">
        <v>74</v>
      </c>
      <c r="AR617" t="s">
        <v>4852</v>
      </c>
      <c r="AS617" t="s">
        <v>4853</v>
      </c>
      <c r="AT617" t="s">
        <v>9849</v>
      </c>
      <c r="AU617">
        <v>2007</v>
      </c>
      <c r="AV617">
        <v>19</v>
      </c>
      <c r="AW617">
        <v>1</v>
      </c>
      <c r="AX617" t="s">
        <v>74</v>
      </c>
      <c r="AY617" t="s">
        <v>74</v>
      </c>
      <c r="AZ617" t="s">
        <v>74</v>
      </c>
      <c r="BA617" t="s">
        <v>74</v>
      </c>
      <c r="BB617">
        <v>39</v>
      </c>
      <c r="BC617">
        <v>54</v>
      </c>
      <c r="BD617" t="s">
        <v>74</v>
      </c>
      <c r="BE617" t="s">
        <v>9931</v>
      </c>
      <c r="BF617" t="str">
        <f>HYPERLINK("http://dx.doi.org/10.1017/S0954102007000077","http://dx.doi.org/10.1017/S0954102007000077")</f>
        <v>http://dx.doi.org/10.1017/S0954102007000077</v>
      </c>
      <c r="BG617" t="s">
        <v>74</v>
      </c>
      <c r="BH617" t="s">
        <v>74</v>
      </c>
      <c r="BI617">
        <v>16</v>
      </c>
      <c r="BJ617" t="s">
        <v>4855</v>
      </c>
      <c r="BK617" t="s">
        <v>98</v>
      </c>
      <c r="BL617" t="s">
        <v>4856</v>
      </c>
      <c r="BM617" t="s">
        <v>9851</v>
      </c>
      <c r="BN617" t="s">
        <v>74</v>
      </c>
      <c r="BO617" t="s">
        <v>74</v>
      </c>
      <c r="BP617" t="s">
        <v>74</v>
      </c>
      <c r="BQ617" t="s">
        <v>74</v>
      </c>
      <c r="BR617" t="s">
        <v>101</v>
      </c>
      <c r="BS617" t="s">
        <v>9932</v>
      </c>
      <c r="BT617" t="str">
        <f>HYPERLINK("https%3A%2F%2Fwww.webofscience.com%2Fwos%2Fwoscc%2Ffull-record%2FWOS:000244918600007","View Full Record in Web of Science")</f>
        <v>View Full Record in Web of Science</v>
      </c>
    </row>
    <row r="618" spans="1:72" x14ac:dyDescent="0.15">
      <c r="A618" t="s">
        <v>72</v>
      </c>
      <c r="B618" t="s">
        <v>9933</v>
      </c>
      <c r="C618" t="s">
        <v>74</v>
      </c>
      <c r="D618" t="s">
        <v>74</v>
      </c>
      <c r="E618" t="s">
        <v>74</v>
      </c>
      <c r="F618" t="s">
        <v>9934</v>
      </c>
      <c r="G618" t="s">
        <v>74</v>
      </c>
      <c r="H618" t="s">
        <v>74</v>
      </c>
      <c r="I618" t="s">
        <v>9935</v>
      </c>
      <c r="J618" t="s">
        <v>4849</v>
      </c>
      <c r="K618" t="s">
        <v>74</v>
      </c>
      <c r="L618" t="s">
        <v>74</v>
      </c>
      <c r="M618" t="s">
        <v>78</v>
      </c>
      <c r="N618" t="s">
        <v>79</v>
      </c>
      <c r="O618" t="s">
        <v>74</v>
      </c>
      <c r="P618" t="s">
        <v>74</v>
      </c>
      <c r="Q618" t="s">
        <v>74</v>
      </c>
      <c r="R618" t="s">
        <v>74</v>
      </c>
      <c r="S618" t="s">
        <v>74</v>
      </c>
      <c r="T618" t="s">
        <v>9936</v>
      </c>
      <c r="U618" t="s">
        <v>9937</v>
      </c>
      <c r="V618" t="s">
        <v>9938</v>
      </c>
      <c r="W618" t="s">
        <v>9939</v>
      </c>
      <c r="X618" t="s">
        <v>9940</v>
      </c>
      <c r="Y618" t="s">
        <v>9941</v>
      </c>
      <c r="Z618" t="s">
        <v>9942</v>
      </c>
      <c r="AA618" t="s">
        <v>74</v>
      </c>
      <c r="AB618" t="s">
        <v>9943</v>
      </c>
      <c r="AC618" t="s">
        <v>74</v>
      </c>
      <c r="AD618" t="s">
        <v>74</v>
      </c>
      <c r="AE618" t="s">
        <v>74</v>
      </c>
      <c r="AF618" t="s">
        <v>74</v>
      </c>
      <c r="AG618">
        <v>47</v>
      </c>
      <c r="AH618">
        <v>45</v>
      </c>
      <c r="AI618">
        <v>50</v>
      </c>
      <c r="AJ618">
        <v>1</v>
      </c>
      <c r="AK618">
        <v>14</v>
      </c>
      <c r="AL618" t="s">
        <v>4219</v>
      </c>
      <c r="AM618" t="s">
        <v>1593</v>
      </c>
      <c r="AN618" t="s">
        <v>4220</v>
      </c>
      <c r="AO618" t="s">
        <v>4851</v>
      </c>
      <c r="AP618" t="s">
        <v>74</v>
      </c>
      <c r="AQ618" t="s">
        <v>74</v>
      </c>
      <c r="AR618" t="s">
        <v>4852</v>
      </c>
      <c r="AS618" t="s">
        <v>4853</v>
      </c>
      <c r="AT618" t="s">
        <v>9849</v>
      </c>
      <c r="AU618">
        <v>2007</v>
      </c>
      <c r="AV618">
        <v>19</v>
      </c>
      <c r="AW618">
        <v>1</v>
      </c>
      <c r="AX618" t="s">
        <v>74</v>
      </c>
      <c r="AY618" t="s">
        <v>74</v>
      </c>
      <c r="AZ618" t="s">
        <v>74</v>
      </c>
      <c r="BA618" t="s">
        <v>74</v>
      </c>
      <c r="BB618">
        <v>55</v>
      </c>
      <c r="BC618">
        <v>63</v>
      </c>
      <c r="BD618" t="s">
        <v>74</v>
      </c>
      <c r="BE618" t="s">
        <v>9944</v>
      </c>
      <c r="BF618" t="str">
        <f>HYPERLINK("http://dx.doi.org/10.1017/S0954102007000089","http://dx.doi.org/10.1017/S0954102007000089")</f>
        <v>http://dx.doi.org/10.1017/S0954102007000089</v>
      </c>
      <c r="BG618" t="s">
        <v>74</v>
      </c>
      <c r="BH618" t="s">
        <v>74</v>
      </c>
      <c r="BI618">
        <v>9</v>
      </c>
      <c r="BJ618" t="s">
        <v>4855</v>
      </c>
      <c r="BK618" t="s">
        <v>98</v>
      </c>
      <c r="BL618" t="s">
        <v>4856</v>
      </c>
      <c r="BM618" t="s">
        <v>9851</v>
      </c>
      <c r="BN618" t="s">
        <v>74</v>
      </c>
      <c r="BO618" t="s">
        <v>74</v>
      </c>
      <c r="BP618" t="s">
        <v>74</v>
      </c>
      <c r="BQ618" t="s">
        <v>74</v>
      </c>
      <c r="BR618" t="s">
        <v>101</v>
      </c>
      <c r="BS618" t="s">
        <v>9945</v>
      </c>
      <c r="BT618" t="str">
        <f>HYPERLINK("https%3A%2F%2Fwww.webofscience.com%2Fwos%2Fwoscc%2Ffull-record%2FWOS:000244918600008","View Full Record in Web of Science")</f>
        <v>View Full Record in Web of Science</v>
      </c>
    </row>
    <row r="619" spans="1:72" x14ac:dyDescent="0.15">
      <c r="A619" t="s">
        <v>72</v>
      </c>
      <c r="B619" t="s">
        <v>9946</v>
      </c>
      <c r="C619" t="s">
        <v>74</v>
      </c>
      <c r="D619" t="s">
        <v>74</v>
      </c>
      <c r="E619" t="s">
        <v>74</v>
      </c>
      <c r="F619" t="s">
        <v>9947</v>
      </c>
      <c r="G619" t="s">
        <v>74</v>
      </c>
      <c r="H619" t="s">
        <v>74</v>
      </c>
      <c r="I619" t="s">
        <v>9948</v>
      </c>
      <c r="J619" t="s">
        <v>4849</v>
      </c>
      <c r="K619" t="s">
        <v>74</v>
      </c>
      <c r="L619" t="s">
        <v>74</v>
      </c>
      <c r="M619" t="s">
        <v>78</v>
      </c>
      <c r="N619" t="s">
        <v>79</v>
      </c>
      <c r="O619" t="s">
        <v>74</v>
      </c>
      <c r="P619" t="s">
        <v>74</v>
      </c>
      <c r="Q619" t="s">
        <v>74</v>
      </c>
      <c r="R619" t="s">
        <v>74</v>
      </c>
      <c r="S619" t="s">
        <v>74</v>
      </c>
      <c r="T619" t="s">
        <v>9949</v>
      </c>
      <c r="U619" t="s">
        <v>9950</v>
      </c>
      <c r="V619" t="s">
        <v>9951</v>
      </c>
      <c r="W619" t="s">
        <v>9952</v>
      </c>
      <c r="X619" t="s">
        <v>9953</v>
      </c>
      <c r="Y619" t="s">
        <v>9954</v>
      </c>
      <c r="Z619" t="s">
        <v>9955</v>
      </c>
      <c r="AA619" t="s">
        <v>9956</v>
      </c>
      <c r="AB619" t="s">
        <v>9957</v>
      </c>
      <c r="AC619" t="s">
        <v>74</v>
      </c>
      <c r="AD619" t="s">
        <v>74</v>
      </c>
      <c r="AE619" t="s">
        <v>74</v>
      </c>
      <c r="AF619" t="s">
        <v>74</v>
      </c>
      <c r="AG619">
        <v>38</v>
      </c>
      <c r="AH619">
        <v>13</v>
      </c>
      <c r="AI619">
        <v>15</v>
      </c>
      <c r="AJ619">
        <v>0</v>
      </c>
      <c r="AK619">
        <v>2</v>
      </c>
      <c r="AL619" t="s">
        <v>4219</v>
      </c>
      <c r="AM619" t="s">
        <v>1593</v>
      </c>
      <c r="AN619" t="s">
        <v>4220</v>
      </c>
      <c r="AO619" t="s">
        <v>4851</v>
      </c>
      <c r="AP619" t="s">
        <v>74</v>
      </c>
      <c r="AQ619" t="s">
        <v>74</v>
      </c>
      <c r="AR619" t="s">
        <v>4852</v>
      </c>
      <c r="AS619" t="s">
        <v>4853</v>
      </c>
      <c r="AT619" t="s">
        <v>9849</v>
      </c>
      <c r="AU619">
        <v>2007</v>
      </c>
      <c r="AV619">
        <v>19</v>
      </c>
      <c r="AW619">
        <v>1</v>
      </c>
      <c r="AX619" t="s">
        <v>74</v>
      </c>
      <c r="AY619" t="s">
        <v>74</v>
      </c>
      <c r="AZ619" t="s">
        <v>74</v>
      </c>
      <c r="BA619" t="s">
        <v>74</v>
      </c>
      <c r="BB619">
        <v>64</v>
      </c>
      <c r="BC619">
        <v>70</v>
      </c>
      <c r="BD619" t="s">
        <v>74</v>
      </c>
      <c r="BE619" t="s">
        <v>9958</v>
      </c>
      <c r="BF619" t="str">
        <f>HYPERLINK("http://dx.doi.org/10.1017/S0954102007000090","http://dx.doi.org/10.1017/S0954102007000090")</f>
        <v>http://dx.doi.org/10.1017/S0954102007000090</v>
      </c>
      <c r="BG619" t="s">
        <v>74</v>
      </c>
      <c r="BH619" t="s">
        <v>74</v>
      </c>
      <c r="BI619">
        <v>7</v>
      </c>
      <c r="BJ619" t="s">
        <v>4855</v>
      </c>
      <c r="BK619" t="s">
        <v>98</v>
      </c>
      <c r="BL619" t="s">
        <v>4856</v>
      </c>
      <c r="BM619" t="s">
        <v>9851</v>
      </c>
      <c r="BN619" t="s">
        <v>74</v>
      </c>
      <c r="BO619" t="s">
        <v>74</v>
      </c>
      <c r="BP619" t="s">
        <v>74</v>
      </c>
      <c r="BQ619" t="s">
        <v>74</v>
      </c>
      <c r="BR619" t="s">
        <v>101</v>
      </c>
      <c r="BS619" t="s">
        <v>9959</v>
      </c>
      <c r="BT619" t="str">
        <f>HYPERLINK("https%3A%2F%2Fwww.webofscience.com%2Fwos%2Fwoscc%2Ffull-record%2FWOS:000244918600009","View Full Record in Web of Science")</f>
        <v>View Full Record in Web of Science</v>
      </c>
    </row>
    <row r="620" spans="1:72" x14ac:dyDescent="0.15">
      <c r="A620" t="s">
        <v>72</v>
      </c>
      <c r="B620" t="s">
        <v>9960</v>
      </c>
      <c r="C620" t="s">
        <v>74</v>
      </c>
      <c r="D620" t="s">
        <v>74</v>
      </c>
      <c r="E620" t="s">
        <v>74</v>
      </c>
      <c r="F620" t="s">
        <v>9961</v>
      </c>
      <c r="G620" t="s">
        <v>74</v>
      </c>
      <c r="H620" t="s">
        <v>74</v>
      </c>
      <c r="I620" t="s">
        <v>9962</v>
      </c>
      <c r="J620" t="s">
        <v>4849</v>
      </c>
      <c r="K620" t="s">
        <v>74</v>
      </c>
      <c r="L620" t="s">
        <v>74</v>
      </c>
      <c r="M620" t="s">
        <v>78</v>
      </c>
      <c r="N620" t="s">
        <v>79</v>
      </c>
      <c r="O620" t="s">
        <v>74</v>
      </c>
      <c r="P620" t="s">
        <v>74</v>
      </c>
      <c r="Q620" t="s">
        <v>74</v>
      </c>
      <c r="R620" t="s">
        <v>74</v>
      </c>
      <c r="S620" t="s">
        <v>74</v>
      </c>
      <c r="T620" t="s">
        <v>9963</v>
      </c>
      <c r="U620" t="s">
        <v>9964</v>
      </c>
      <c r="V620" t="s">
        <v>9965</v>
      </c>
      <c r="W620" t="s">
        <v>9966</v>
      </c>
      <c r="X620" t="s">
        <v>9967</v>
      </c>
      <c r="Y620" t="s">
        <v>9968</v>
      </c>
      <c r="Z620" t="s">
        <v>9969</v>
      </c>
      <c r="AA620" t="s">
        <v>9970</v>
      </c>
      <c r="AB620" t="s">
        <v>9971</v>
      </c>
      <c r="AC620" t="s">
        <v>74</v>
      </c>
      <c r="AD620" t="s">
        <v>74</v>
      </c>
      <c r="AE620" t="s">
        <v>74</v>
      </c>
      <c r="AF620" t="s">
        <v>74</v>
      </c>
      <c r="AG620">
        <v>51</v>
      </c>
      <c r="AH620">
        <v>46</v>
      </c>
      <c r="AI620">
        <v>55</v>
      </c>
      <c r="AJ620">
        <v>0</v>
      </c>
      <c r="AK620">
        <v>12</v>
      </c>
      <c r="AL620" t="s">
        <v>4219</v>
      </c>
      <c r="AM620" t="s">
        <v>1593</v>
      </c>
      <c r="AN620" t="s">
        <v>4220</v>
      </c>
      <c r="AO620" t="s">
        <v>4851</v>
      </c>
      <c r="AP620" t="s">
        <v>74</v>
      </c>
      <c r="AQ620" t="s">
        <v>74</v>
      </c>
      <c r="AR620" t="s">
        <v>4852</v>
      </c>
      <c r="AS620" t="s">
        <v>4853</v>
      </c>
      <c r="AT620" t="s">
        <v>9849</v>
      </c>
      <c r="AU620">
        <v>2007</v>
      </c>
      <c r="AV620">
        <v>19</v>
      </c>
      <c r="AW620">
        <v>1</v>
      </c>
      <c r="AX620" t="s">
        <v>74</v>
      </c>
      <c r="AY620" t="s">
        <v>74</v>
      </c>
      <c r="AZ620" t="s">
        <v>74</v>
      </c>
      <c r="BA620" t="s">
        <v>74</v>
      </c>
      <c r="BB620">
        <v>71</v>
      </c>
      <c r="BC620">
        <v>82</v>
      </c>
      <c r="BD620" t="s">
        <v>74</v>
      </c>
      <c r="BE620" t="s">
        <v>9972</v>
      </c>
      <c r="BF620" t="str">
        <f>HYPERLINK("http://dx.doi.org/10.1017/S0954102007000107","http://dx.doi.org/10.1017/S0954102007000107")</f>
        <v>http://dx.doi.org/10.1017/S0954102007000107</v>
      </c>
      <c r="BG620" t="s">
        <v>74</v>
      </c>
      <c r="BH620" t="s">
        <v>74</v>
      </c>
      <c r="BI620">
        <v>12</v>
      </c>
      <c r="BJ620" t="s">
        <v>4855</v>
      </c>
      <c r="BK620" t="s">
        <v>98</v>
      </c>
      <c r="BL620" t="s">
        <v>4856</v>
      </c>
      <c r="BM620" t="s">
        <v>9851</v>
      </c>
      <c r="BN620" t="s">
        <v>74</v>
      </c>
      <c r="BO620" t="s">
        <v>74</v>
      </c>
      <c r="BP620" t="s">
        <v>74</v>
      </c>
      <c r="BQ620" t="s">
        <v>74</v>
      </c>
      <c r="BR620" t="s">
        <v>101</v>
      </c>
      <c r="BS620" t="s">
        <v>9973</v>
      </c>
      <c r="BT620" t="str">
        <f>HYPERLINK("https%3A%2F%2Fwww.webofscience.com%2Fwos%2Fwoscc%2Ffull-record%2FWOS:000244918600010","View Full Record in Web of Science")</f>
        <v>View Full Record in Web of Science</v>
      </c>
    </row>
    <row r="621" spans="1:72" x14ac:dyDescent="0.15">
      <c r="A621" t="s">
        <v>72</v>
      </c>
      <c r="B621" t="s">
        <v>9974</v>
      </c>
      <c r="C621" t="s">
        <v>74</v>
      </c>
      <c r="D621" t="s">
        <v>74</v>
      </c>
      <c r="E621" t="s">
        <v>74</v>
      </c>
      <c r="F621" t="s">
        <v>9975</v>
      </c>
      <c r="G621" t="s">
        <v>74</v>
      </c>
      <c r="H621" t="s">
        <v>74</v>
      </c>
      <c r="I621" t="s">
        <v>9976</v>
      </c>
      <c r="J621" t="s">
        <v>4849</v>
      </c>
      <c r="K621" t="s">
        <v>74</v>
      </c>
      <c r="L621" t="s">
        <v>74</v>
      </c>
      <c r="M621" t="s">
        <v>78</v>
      </c>
      <c r="N621" t="s">
        <v>79</v>
      </c>
      <c r="O621" t="s">
        <v>74</v>
      </c>
      <c r="P621" t="s">
        <v>74</v>
      </c>
      <c r="Q621" t="s">
        <v>74</v>
      </c>
      <c r="R621" t="s">
        <v>74</v>
      </c>
      <c r="S621" t="s">
        <v>74</v>
      </c>
      <c r="T621" t="s">
        <v>9977</v>
      </c>
      <c r="U621" t="s">
        <v>9978</v>
      </c>
      <c r="V621" t="s">
        <v>9979</v>
      </c>
      <c r="W621" t="s">
        <v>9980</v>
      </c>
      <c r="X621" t="s">
        <v>9981</v>
      </c>
      <c r="Y621" t="s">
        <v>9982</v>
      </c>
      <c r="Z621" t="s">
        <v>9983</v>
      </c>
      <c r="AA621" t="s">
        <v>9984</v>
      </c>
      <c r="AB621" t="s">
        <v>9985</v>
      </c>
      <c r="AC621" t="s">
        <v>74</v>
      </c>
      <c r="AD621" t="s">
        <v>74</v>
      </c>
      <c r="AE621" t="s">
        <v>74</v>
      </c>
      <c r="AF621" t="s">
        <v>74</v>
      </c>
      <c r="AG621">
        <v>58</v>
      </c>
      <c r="AH621">
        <v>36</v>
      </c>
      <c r="AI621">
        <v>37</v>
      </c>
      <c r="AJ621">
        <v>0</v>
      </c>
      <c r="AK621">
        <v>19</v>
      </c>
      <c r="AL621" t="s">
        <v>4219</v>
      </c>
      <c r="AM621" t="s">
        <v>1593</v>
      </c>
      <c r="AN621" t="s">
        <v>4220</v>
      </c>
      <c r="AO621" t="s">
        <v>4851</v>
      </c>
      <c r="AP621" t="s">
        <v>74</v>
      </c>
      <c r="AQ621" t="s">
        <v>74</v>
      </c>
      <c r="AR621" t="s">
        <v>4852</v>
      </c>
      <c r="AS621" t="s">
        <v>4853</v>
      </c>
      <c r="AT621" t="s">
        <v>9849</v>
      </c>
      <c r="AU621">
        <v>2007</v>
      </c>
      <c r="AV621">
        <v>19</v>
      </c>
      <c r="AW621">
        <v>1</v>
      </c>
      <c r="AX621" t="s">
        <v>74</v>
      </c>
      <c r="AY621" t="s">
        <v>74</v>
      </c>
      <c r="AZ621" t="s">
        <v>74</v>
      </c>
      <c r="BA621" t="s">
        <v>74</v>
      </c>
      <c r="BB621">
        <v>83</v>
      </c>
      <c r="BC621">
        <v>92</v>
      </c>
      <c r="BD621" t="s">
        <v>74</v>
      </c>
      <c r="BE621" t="s">
        <v>9986</v>
      </c>
      <c r="BF621" t="str">
        <f>HYPERLINK("http://dx.doi.org/10.1017/S0954102007000119","http://dx.doi.org/10.1017/S0954102007000119")</f>
        <v>http://dx.doi.org/10.1017/S0954102007000119</v>
      </c>
      <c r="BG621" t="s">
        <v>74</v>
      </c>
      <c r="BH621" t="s">
        <v>74</v>
      </c>
      <c r="BI621">
        <v>10</v>
      </c>
      <c r="BJ621" t="s">
        <v>4855</v>
      </c>
      <c r="BK621" t="s">
        <v>98</v>
      </c>
      <c r="BL621" t="s">
        <v>4856</v>
      </c>
      <c r="BM621" t="s">
        <v>9851</v>
      </c>
      <c r="BN621" t="s">
        <v>74</v>
      </c>
      <c r="BO621" t="s">
        <v>1249</v>
      </c>
      <c r="BP621" t="s">
        <v>74</v>
      </c>
      <c r="BQ621" t="s">
        <v>74</v>
      </c>
      <c r="BR621" t="s">
        <v>101</v>
      </c>
      <c r="BS621" t="s">
        <v>9987</v>
      </c>
      <c r="BT621" t="str">
        <f>HYPERLINK("https%3A%2F%2Fwww.webofscience.com%2Fwos%2Fwoscc%2Ffull-record%2FWOS:000244918600011","View Full Record in Web of Science")</f>
        <v>View Full Record in Web of Science</v>
      </c>
    </row>
    <row r="622" spans="1:72" x14ac:dyDescent="0.15">
      <c r="A622" t="s">
        <v>72</v>
      </c>
      <c r="B622" t="s">
        <v>9988</v>
      </c>
      <c r="C622" t="s">
        <v>74</v>
      </c>
      <c r="D622" t="s">
        <v>74</v>
      </c>
      <c r="E622" t="s">
        <v>74</v>
      </c>
      <c r="F622" t="s">
        <v>9989</v>
      </c>
      <c r="G622" t="s">
        <v>74</v>
      </c>
      <c r="H622" t="s">
        <v>74</v>
      </c>
      <c r="I622" t="s">
        <v>9990</v>
      </c>
      <c r="J622" t="s">
        <v>4849</v>
      </c>
      <c r="K622" t="s">
        <v>74</v>
      </c>
      <c r="L622" t="s">
        <v>74</v>
      </c>
      <c r="M622" t="s">
        <v>78</v>
      </c>
      <c r="N622" t="s">
        <v>79</v>
      </c>
      <c r="O622" t="s">
        <v>74</v>
      </c>
      <c r="P622" t="s">
        <v>74</v>
      </c>
      <c r="Q622" t="s">
        <v>74</v>
      </c>
      <c r="R622" t="s">
        <v>74</v>
      </c>
      <c r="S622" t="s">
        <v>74</v>
      </c>
      <c r="T622" t="s">
        <v>74</v>
      </c>
      <c r="U622" t="s">
        <v>74</v>
      </c>
      <c r="V622" t="s">
        <v>74</v>
      </c>
      <c r="W622" t="s">
        <v>9991</v>
      </c>
      <c r="X622" t="s">
        <v>9992</v>
      </c>
      <c r="Y622" t="s">
        <v>9993</v>
      </c>
      <c r="Z622" t="s">
        <v>9994</v>
      </c>
      <c r="AA622" t="s">
        <v>9995</v>
      </c>
      <c r="AB622" t="s">
        <v>9996</v>
      </c>
      <c r="AC622" t="s">
        <v>74</v>
      </c>
      <c r="AD622" t="s">
        <v>74</v>
      </c>
      <c r="AE622" t="s">
        <v>74</v>
      </c>
      <c r="AF622" t="s">
        <v>74</v>
      </c>
      <c r="AG622">
        <v>10</v>
      </c>
      <c r="AH622">
        <v>15</v>
      </c>
      <c r="AI622">
        <v>15</v>
      </c>
      <c r="AJ622">
        <v>0</v>
      </c>
      <c r="AK622">
        <v>12</v>
      </c>
      <c r="AL622" t="s">
        <v>4219</v>
      </c>
      <c r="AM622" t="s">
        <v>1593</v>
      </c>
      <c r="AN622" t="s">
        <v>4220</v>
      </c>
      <c r="AO622" t="s">
        <v>4851</v>
      </c>
      <c r="AP622" t="s">
        <v>74</v>
      </c>
      <c r="AQ622" t="s">
        <v>74</v>
      </c>
      <c r="AR622" t="s">
        <v>4852</v>
      </c>
      <c r="AS622" t="s">
        <v>4853</v>
      </c>
      <c r="AT622" t="s">
        <v>9849</v>
      </c>
      <c r="AU622">
        <v>2007</v>
      </c>
      <c r="AV622">
        <v>19</v>
      </c>
      <c r="AW622">
        <v>1</v>
      </c>
      <c r="AX622" t="s">
        <v>74</v>
      </c>
      <c r="AY622" t="s">
        <v>74</v>
      </c>
      <c r="AZ622" t="s">
        <v>74</v>
      </c>
      <c r="BA622" t="s">
        <v>74</v>
      </c>
      <c r="BB622">
        <v>93</v>
      </c>
      <c r="BC622">
        <v>94</v>
      </c>
      <c r="BD622" t="s">
        <v>74</v>
      </c>
      <c r="BE622" t="s">
        <v>9997</v>
      </c>
      <c r="BF622" t="str">
        <f>HYPERLINK("http://dx.doi.org/10.1017/S0954102007000120","http://dx.doi.org/10.1017/S0954102007000120")</f>
        <v>http://dx.doi.org/10.1017/S0954102007000120</v>
      </c>
      <c r="BG622" t="s">
        <v>74</v>
      </c>
      <c r="BH622" t="s">
        <v>74</v>
      </c>
      <c r="BI622">
        <v>2</v>
      </c>
      <c r="BJ622" t="s">
        <v>4855</v>
      </c>
      <c r="BK622" t="s">
        <v>98</v>
      </c>
      <c r="BL622" t="s">
        <v>4856</v>
      </c>
      <c r="BM622" t="s">
        <v>9851</v>
      </c>
      <c r="BN622" t="s">
        <v>74</v>
      </c>
      <c r="BO622" t="s">
        <v>74</v>
      </c>
      <c r="BP622" t="s">
        <v>74</v>
      </c>
      <c r="BQ622" t="s">
        <v>74</v>
      </c>
      <c r="BR622" t="s">
        <v>101</v>
      </c>
      <c r="BS622" t="s">
        <v>9998</v>
      </c>
      <c r="BT622" t="str">
        <f>HYPERLINK("https%3A%2F%2Fwww.webofscience.com%2Fwos%2Fwoscc%2Ffull-record%2FWOS:000244918600012","View Full Record in Web of Science")</f>
        <v>View Full Record in Web of Science</v>
      </c>
    </row>
    <row r="623" spans="1:72" x14ac:dyDescent="0.15">
      <c r="A623" t="s">
        <v>72</v>
      </c>
      <c r="B623" t="s">
        <v>9999</v>
      </c>
      <c r="C623" t="s">
        <v>74</v>
      </c>
      <c r="D623" t="s">
        <v>74</v>
      </c>
      <c r="E623" t="s">
        <v>74</v>
      </c>
      <c r="F623" t="s">
        <v>10000</v>
      </c>
      <c r="G623" t="s">
        <v>74</v>
      </c>
      <c r="H623" t="s">
        <v>74</v>
      </c>
      <c r="I623" t="s">
        <v>10001</v>
      </c>
      <c r="J623" t="s">
        <v>4849</v>
      </c>
      <c r="K623" t="s">
        <v>74</v>
      </c>
      <c r="L623" t="s">
        <v>74</v>
      </c>
      <c r="M623" t="s">
        <v>78</v>
      </c>
      <c r="N623" t="s">
        <v>79</v>
      </c>
      <c r="O623" t="s">
        <v>74</v>
      </c>
      <c r="P623" t="s">
        <v>74</v>
      </c>
      <c r="Q623" t="s">
        <v>74</v>
      </c>
      <c r="R623" t="s">
        <v>74</v>
      </c>
      <c r="S623" t="s">
        <v>74</v>
      </c>
      <c r="T623" t="s">
        <v>74</v>
      </c>
      <c r="U623" t="s">
        <v>10002</v>
      </c>
      <c r="V623" t="s">
        <v>74</v>
      </c>
      <c r="W623" t="s">
        <v>10003</v>
      </c>
      <c r="X623" t="s">
        <v>10004</v>
      </c>
      <c r="Y623" t="s">
        <v>10005</v>
      </c>
      <c r="Z623" t="s">
        <v>10006</v>
      </c>
      <c r="AA623" t="s">
        <v>10007</v>
      </c>
      <c r="AB623" t="s">
        <v>10008</v>
      </c>
      <c r="AC623" t="s">
        <v>74</v>
      </c>
      <c r="AD623" t="s">
        <v>74</v>
      </c>
      <c r="AE623" t="s">
        <v>74</v>
      </c>
      <c r="AF623" t="s">
        <v>74</v>
      </c>
      <c r="AG623">
        <v>10</v>
      </c>
      <c r="AH623">
        <v>10</v>
      </c>
      <c r="AI623">
        <v>12</v>
      </c>
      <c r="AJ623">
        <v>1</v>
      </c>
      <c r="AK623">
        <v>3</v>
      </c>
      <c r="AL623" t="s">
        <v>4219</v>
      </c>
      <c r="AM623" t="s">
        <v>1593</v>
      </c>
      <c r="AN623" t="s">
        <v>4220</v>
      </c>
      <c r="AO623" t="s">
        <v>4851</v>
      </c>
      <c r="AP623" t="s">
        <v>4877</v>
      </c>
      <c r="AQ623" t="s">
        <v>74</v>
      </c>
      <c r="AR623" t="s">
        <v>4852</v>
      </c>
      <c r="AS623" t="s">
        <v>4853</v>
      </c>
      <c r="AT623" t="s">
        <v>9849</v>
      </c>
      <c r="AU623">
        <v>2007</v>
      </c>
      <c r="AV623">
        <v>19</v>
      </c>
      <c r="AW623">
        <v>1</v>
      </c>
      <c r="AX623" t="s">
        <v>74</v>
      </c>
      <c r="AY623" t="s">
        <v>74</v>
      </c>
      <c r="AZ623" t="s">
        <v>74</v>
      </c>
      <c r="BA623" t="s">
        <v>74</v>
      </c>
      <c r="BB623">
        <v>95</v>
      </c>
      <c r="BC623">
        <v>96</v>
      </c>
      <c r="BD623" t="s">
        <v>74</v>
      </c>
      <c r="BE623" t="s">
        <v>10009</v>
      </c>
      <c r="BF623" t="str">
        <f>HYPERLINK("http://dx.doi.org/10.1017/S0954102007000132","http://dx.doi.org/10.1017/S0954102007000132")</f>
        <v>http://dx.doi.org/10.1017/S0954102007000132</v>
      </c>
      <c r="BG623" t="s">
        <v>74</v>
      </c>
      <c r="BH623" t="s">
        <v>74</v>
      </c>
      <c r="BI623">
        <v>2</v>
      </c>
      <c r="BJ623" t="s">
        <v>4855</v>
      </c>
      <c r="BK623" t="s">
        <v>98</v>
      </c>
      <c r="BL623" t="s">
        <v>4856</v>
      </c>
      <c r="BM623" t="s">
        <v>9851</v>
      </c>
      <c r="BN623" t="s">
        <v>74</v>
      </c>
      <c r="BO623" t="s">
        <v>74</v>
      </c>
      <c r="BP623" t="s">
        <v>74</v>
      </c>
      <c r="BQ623" t="s">
        <v>74</v>
      </c>
      <c r="BR623" t="s">
        <v>101</v>
      </c>
      <c r="BS623" t="s">
        <v>10010</v>
      </c>
      <c r="BT623" t="str">
        <f>HYPERLINK("https%3A%2F%2Fwww.webofscience.com%2Fwos%2Fwoscc%2Ffull-record%2FWOS:000244918600013","View Full Record in Web of Science")</f>
        <v>View Full Record in Web of Science</v>
      </c>
    </row>
    <row r="624" spans="1:72" x14ac:dyDescent="0.15">
      <c r="A624" t="s">
        <v>72</v>
      </c>
      <c r="B624" t="s">
        <v>10011</v>
      </c>
      <c r="C624" t="s">
        <v>74</v>
      </c>
      <c r="D624" t="s">
        <v>74</v>
      </c>
      <c r="E624" t="s">
        <v>74</v>
      </c>
      <c r="F624" t="s">
        <v>10012</v>
      </c>
      <c r="G624" t="s">
        <v>74</v>
      </c>
      <c r="H624" t="s">
        <v>74</v>
      </c>
      <c r="I624" t="s">
        <v>10013</v>
      </c>
      <c r="J624" t="s">
        <v>4849</v>
      </c>
      <c r="K624" t="s">
        <v>74</v>
      </c>
      <c r="L624" t="s">
        <v>74</v>
      </c>
      <c r="M624" t="s">
        <v>78</v>
      </c>
      <c r="N624" t="s">
        <v>79</v>
      </c>
      <c r="O624" t="s">
        <v>74</v>
      </c>
      <c r="P624" t="s">
        <v>74</v>
      </c>
      <c r="Q624" t="s">
        <v>74</v>
      </c>
      <c r="R624" t="s">
        <v>74</v>
      </c>
      <c r="S624" t="s">
        <v>74</v>
      </c>
      <c r="T624" t="s">
        <v>10014</v>
      </c>
      <c r="U624" t="s">
        <v>10015</v>
      </c>
      <c r="V624" t="s">
        <v>10016</v>
      </c>
      <c r="W624" t="s">
        <v>10017</v>
      </c>
      <c r="X624" t="s">
        <v>10018</v>
      </c>
      <c r="Y624" t="s">
        <v>10019</v>
      </c>
      <c r="Z624" t="s">
        <v>10020</v>
      </c>
      <c r="AA624" t="s">
        <v>74</v>
      </c>
      <c r="AB624" t="s">
        <v>10021</v>
      </c>
      <c r="AC624" t="s">
        <v>74</v>
      </c>
      <c r="AD624" t="s">
        <v>74</v>
      </c>
      <c r="AE624" t="s">
        <v>74</v>
      </c>
      <c r="AF624" t="s">
        <v>74</v>
      </c>
      <c r="AG624">
        <v>50</v>
      </c>
      <c r="AH624">
        <v>12</v>
      </c>
      <c r="AI624">
        <v>12</v>
      </c>
      <c r="AJ624">
        <v>0</v>
      </c>
      <c r="AK624">
        <v>10</v>
      </c>
      <c r="AL624" t="s">
        <v>4219</v>
      </c>
      <c r="AM624" t="s">
        <v>1593</v>
      </c>
      <c r="AN624" t="s">
        <v>4220</v>
      </c>
      <c r="AO624" t="s">
        <v>4851</v>
      </c>
      <c r="AP624" t="s">
        <v>4877</v>
      </c>
      <c r="AQ624" t="s">
        <v>74</v>
      </c>
      <c r="AR624" t="s">
        <v>4852</v>
      </c>
      <c r="AS624" t="s">
        <v>4853</v>
      </c>
      <c r="AT624" t="s">
        <v>9849</v>
      </c>
      <c r="AU624">
        <v>2007</v>
      </c>
      <c r="AV624">
        <v>19</v>
      </c>
      <c r="AW624">
        <v>1</v>
      </c>
      <c r="AX624" t="s">
        <v>74</v>
      </c>
      <c r="AY624" t="s">
        <v>74</v>
      </c>
      <c r="AZ624" t="s">
        <v>74</v>
      </c>
      <c r="BA624" t="s">
        <v>74</v>
      </c>
      <c r="BB624">
        <v>97</v>
      </c>
      <c r="BC624">
        <v>106</v>
      </c>
      <c r="BD624" t="s">
        <v>74</v>
      </c>
      <c r="BE624" t="s">
        <v>10022</v>
      </c>
      <c r="BF624" t="str">
        <f>HYPERLINK("http://dx.doi.org/10.1017/S0954102007000144","http://dx.doi.org/10.1017/S0954102007000144")</f>
        <v>http://dx.doi.org/10.1017/S0954102007000144</v>
      </c>
      <c r="BG624" t="s">
        <v>74</v>
      </c>
      <c r="BH624" t="s">
        <v>74</v>
      </c>
      <c r="BI624">
        <v>10</v>
      </c>
      <c r="BJ624" t="s">
        <v>4855</v>
      </c>
      <c r="BK624" t="s">
        <v>98</v>
      </c>
      <c r="BL624" t="s">
        <v>4856</v>
      </c>
      <c r="BM624" t="s">
        <v>9851</v>
      </c>
      <c r="BN624" t="s">
        <v>74</v>
      </c>
      <c r="BO624" t="s">
        <v>74</v>
      </c>
      <c r="BP624" t="s">
        <v>74</v>
      </c>
      <c r="BQ624" t="s">
        <v>74</v>
      </c>
      <c r="BR624" t="s">
        <v>101</v>
      </c>
      <c r="BS624" t="s">
        <v>10023</v>
      </c>
      <c r="BT624" t="str">
        <f>HYPERLINK("https%3A%2F%2Fwww.webofscience.com%2Fwos%2Fwoscc%2Ffull-record%2FWOS:000244918600014","View Full Record in Web of Science")</f>
        <v>View Full Record in Web of Science</v>
      </c>
    </row>
    <row r="625" spans="1:72" x14ac:dyDescent="0.15">
      <c r="A625" t="s">
        <v>72</v>
      </c>
      <c r="B625" t="s">
        <v>10024</v>
      </c>
      <c r="C625" t="s">
        <v>74</v>
      </c>
      <c r="D625" t="s">
        <v>74</v>
      </c>
      <c r="E625" t="s">
        <v>74</v>
      </c>
      <c r="F625" t="s">
        <v>10025</v>
      </c>
      <c r="G625" t="s">
        <v>74</v>
      </c>
      <c r="H625" t="s">
        <v>74</v>
      </c>
      <c r="I625" t="s">
        <v>10026</v>
      </c>
      <c r="J625" t="s">
        <v>4849</v>
      </c>
      <c r="K625" t="s">
        <v>74</v>
      </c>
      <c r="L625" t="s">
        <v>74</v>
      </c>
      <c r="M625" t="s">
        <v>78</v>
      </c>
      <c r="N625" t="s">
        <v>79</v>
      </c>
      <c r="O625" t="s">
        <v>74</v>
      </c>
      <c r="P625" t="s">
        <v>74</v>
      </c>
      <c r="Q625" t="s">
        <v>74</v>
      </c>
      <c r="R625" t="s">
        <v>74</v>
      </c>
      <c r="S625" t="s">
        <v>74</v>
      </c>
      <c r="T625" t="s">
        <v>10027</v>
      </c>
      <c r="U625" t="s">
        <v>10028</v>
      </c>
      <c r="V625" t="s">
        <v>10029</v>
      </c>
      <c r="W625" t="s">
        <v>10030</v>
      </c>
      <c r="X625" t="s">
        <v>10031</v>
      </c>
      <c r="Y625" t="s">
        <v>10032</v>
      </c>
      <c r="Z625" t="s">
        <v>10033</v>
      </c>
      <c r="AA625" t="s">
        <v>10034</v>
      </c>
      <c r="AB625" t="s">
        <v>10035</v>
      </c>
      <c r="AC625" t="s">
        <v>74</v>
      </c>
      <c r="AD625" t="s">
        <v>74</v>
      </c>
      <c r="AE625" t="s">
        <v>74</v>
      </c>
      <c r="AF625" t="s">
        <v>74</v>
      </c>
      <c r="AG625">
        <v>29</v>
      </c>
      <c r="AH625">
        <v>13</v>
      </c>
      <c r="AI625">
        <v>14</v>
      </c>
      <c r="AJ625">
        <v>0</v>
      </c>
      <c r="AK625">
        <v>5</v>
      </c>
      <c r="AL625" t="s">
        <v>4219</v>
      </c>
      <c r="AM625" t="s">
        <v>1593</v>
      </c>
      <c r="AN625" t="s">
        <v>4220</v>
      </c>
      <c r="AO625" t="s">
        <v>4851</v>
      </c>
      <c r="AP625" t="s">
        <v>4877</v>
      </c>
      <c r="AQ625" t="s">
        <v>74</v>
      </c>
      <c r="AR625" t="s">
        <v>4852</v>
      </c>
      <c r="AS625" t="s">
        <v>4853</v>
      </c>
      <c r="AT625" t="s">
        <v>9849</v>
      </c>
      <c r="AU625">
        <v>2007</v>
      </c>
      <c r="AV625">
        <v>19</v>
      </c>
      <c r="AW625">
        <v>1</v>
      </c>
      <c r="AX625" t="s">
        <v>74</v>
      </c>
      <c r="AY625" t="s">
        <v>74</v>
      </c>
      <c r="AZ625" t="s">
        <v>74</v>
      </c>
      <c r="BA625" t="s">
        <v>74</v>
      </c>
      <c r="BB625">
        <v>107</v>
      </c>
      <c r="BC625">
        <v>114</v>
      </c>
      <c r="BD625" t="s">
        <v>74</v>
      </c>
      <c r="BE625" t="s">
        <v>10036</v>
      </c>
      <c r="BF625" t="str">
        <f>HYPERLINK("http://dx.doi.org/10.1017/S0954102007000156","http://dx.doi.org/10.1017/S0954102007000156")</f>
        <v>http://dx.doi.org/10.1017/S0954102007000156</v>
      </c>
      <c r="BG625" t="s">
        <v>74</v>
      </c>
      <c r="BH625" t="s">
        <v>74</v>
      </c>
      <c r="BI625">
        <v>8</v>
      </c>
      <c r="BJ625" t="s">
        <v>4855</v>
      </c>
      <c r="BK625" t="s">
        <v>98</v>
      </c>
      <c r="BL625" t="s">
        <v>4856</v>
      </c>
      <c r="BM625" t="s">
        <v>9851</v>
      </c>
      <c r="BN625" t="s">
        <v>74</v>
      </c>
      <c r="BO625" t="s">
        <v>74</v>
      </c>
      <c r="BP625" t="s">
        <v>74</v>
      </c>
      <c r="BQ625" t="s">
        <v>74</v>
      </c>
      <c r="BR625" t="s">
        <v>101</v>
      </c>
      <c r="BS625" t="s">
        <v>10037</v>
      </c>
      <c r="BT625" t="str">
        <f>HYPERLINK("https%3A%2F%2Fwww.webofscience.com%2Fwos%2Fwoscc%2Ffull-record%2FWOS:000244918600015","View Full Record in Web of Science")</f>
        <v>View Full Record in Web of Science</v>
      </c>
    </row>
    <row r="626" spans="1:72" x14ac:dyDescent="0.15">
      <c r="A626" t="s">
        <v>72</v>
      </c>
      <c r="B626" t="s">
        <v>10038</v>
      </c>
      <c r="C626" t="s">
        <v>74</v>
      </c>
      <c r="D626" t="s">
        <v>74</v>
      </c>
      <c r="E626" t="s">
        <v>74</v>
      </c>
      <c r="F626" t="s">
        <v>10039</v>
      </c>
      <c r="G626" t="s">
        <v>74</v>
      </c>
      <c r="H626" t="s">
        <v>74</v>
      </c>
      <c r="I626" t="s">
        <v>10040</v>
      </c>
      <c r="J626" t="s">
        <v>4849</v>
      </c>
      <c r="K626" t="s">
        <v>74</v>
      </c>
      <c r="L626" t="s">
        <v>74</v>
      </c>
      <c r="M626" t="s">
        <v>78</v>
      </c>
      <c r="N626" t="s">
        <v>79</v>
      </c>
      <c r="O626" t="s">
        <v>74</v>
      </c>
      <c r="P626" t="s">
        <v>74</v>
      </c>
      <c r="Q626" t="s">
        <v>74</v>
      </c>
      <c r="R626" t="s">
        <v>74</v>
      </c>
      <c r="S626" t="s">
        <v>74</v>
      </c>
      <c r="T626" t="s">
        <v>10041</v>
      </c>
      <c r="U626" t="s">
        <v>10042</v>
      </c>
      <c r="V626" t="s">
        <v>10043</v>
      </c>
      <c r="W626" t="s">
        <v>10044</v>
      </c>
      <c r="X626" t="s">
        <v>10045</v>
      </c>
      <c r="Y626" t="s">
        <v>10046</v>
      </c>
      <c r="Z626" t="s">
        <v>10047</v>
      </c>
      <c r="AA626" t="s">
        <v>10048</v>
      </c>
      <c r="AB626" t="s">
        <v>10049</v>
      </c>
      <c r="AC626" t="s">
        <v>74</v>
      </c>
      <c r="AD626" t="s">
        <v>74</v>
      </c>
      <c r="AE626" t="s">
        <v>74</v>
      </c>
      <c r="AF626" t="s">
        <v>74</v>
      </c>
      <c r="AG626">
        <v>76</v>
      </c>
      <c r="AH626">
        <v>11</v>
      </c>
      <c r="AI626">
        <v>12</v>
      </c>
      <c r="AJ626">
        <v>0</v>
      </c>
      <c r="AK626">
        <v>4</v>
      </c>
      <c r="AL626" t="s">
        <v>4219</v>
      </c>
      <c r="AM626" t="s">
        <v>1593</v>
      </c>
      <c r="AN626" t="s">
        <v>4220</v>
      </c>
      <c r="AO626" t="s">
        <v>4851</v>
      </c>
      <c r="AP626" t="s">
        <v>4877</v>
      </c>
      <c r="AQ626" t="s">
        <v>74</v>
      </c>
      <c r="AR626" t="s">
        <v>4852</v>
      </c>
      <c r="AS626" t="s">
        <v>4853</v>
      </c>
      <c r="AT626" t="s">
        <v>9849</v>
      </c>
      <c r="AU626">
        <v>2007</v>
      </c>
      <c r="AV626">
        <v>19</v>
      </c>
      <c r="AW626">
        <v>1</v>
      </c>
      <c r="AX626" t="s">
        <v>74</v>
      </c>
      <c r="AY626" t="s">
        <v>74</v>
      </c>
      <c r="AZ626" t="s">
        <v>74</v>
      </c>
      <c r="BA626" t="s">
        <v>74</v>
      </c>
      <c r="BB626">
        <v>115</v>
      </c>
      <c r="BC626">
        <v>124</v>
      </c>
      <c r="BD626" t="s">
        <v>74</v>
      </c>
      <c r="BE626" t="s">
        <v>10050</v>
      </c>
      <c r="BF626" t="str">
        <f>HYPERLINK("http://dx.doi.org/10.1017/S0954102007000168","http://dx.doi.org/10.1017/S0954102007000168")</f>
        <v>http://dx.doi.org/10.1017/S0954102007000168</v>
      </c>
      <c r="BG626" t="s">
        <v>74</v>
      </c>
      <c r="BH626" t="s">
        <v>74</v>
      </c>
      <c r="BI626">
        <v>10</v>
      </c>
      <c r="BJ626" t="s">
        <v>4855</v>
      </c>
      <c r="BK626" t="s">
        <v>98</v>
      </c>
      <c r="BL626" t="s">
        <v>4856</v>
      </c>
      <c r="BM626" t="s">
        <v>9851</v>
      </c>
      <c r="BN626" t="s">
        <v>74</v>
      </c>
      <c r="BO626" t="s">
        <v>74</v>
      </c>
      <c r="BP626" t="s">
        <v>74</v>
      </c>
      <c r="BQ626" t="s">
        <v>74</v>
      </c>
      <c r="BR626" t="s">
        <v>101</v>
      </c>
      <c r="BS626" t="s">
        <v>10051</v>
      </c>
      <c r="BT626" t="str">
        <f>HYPERLINK("https%3A%2F%2Fwww.webofscience.com%2Fwos%2Fwoscc%2Ffull-record%2FWOS:000244918600016","View Full Record in Web of Science")</f>
        <v>View Full Record in Web of Science</v>
      </c>
    </row>
    <row r="627" spans="1:72" x14ac:dyDescent="0.15">
      <c r="A627" t="s">
        <v>72</v>
      </c>
      <c r="B627" t="s">
        <v>10052</v>
      </c>
      <c r="C627" t="s">
        <v>74</v>
      </c>
      <c r="D627" t="s">
        <v>74</v>
      </c>
      <c r="E627" t="s">
        <v>74</v>
      </c>
      <c r="F627" t="s">
        <v>10053</v>
      </c>
      <c r="G627" t="s">
        <v>74</v>
      </c>
      <c r="H627" t="s">
        <v>74</v>
      </c>
      <c r="I627" t="s">
        <v>10054</v>
      </c>
      <c r="J627" t="s">
        <v>4849</v>
      </c>
      <c r="K627" t="s">
        <v>74</v>
      </c>
      <c r="L627" t="s">
        <v>74</v>
      </c>
      <c r="M627" t="s">
        <v>78</v>
      </c>
      <c r="N627" t="s">
        <v>79</v>
      </c>
      <c r="O627" t="s">
        <v>74</v>
      </c>
      <c r="P627" t="s">
        <v>74</v>
      </c>
      <c r="Q627" t="s">
        <v>74</v>
      </c>
      <c r="R627" t="s">
        <v>74</v>
      </c>
      <c r="S627" t="s">
        <v>74</v>
      </c>
      <c r="T627" t="s">
        <v>10055</v>
      </c>
      <c r="U627" t="s">
        <v>10056</v>
      </c>
      <c r="V627" t="s">
        <v>10057</v>
      </c>
      <c r="W627" t="s">
        <v>10058</v>
      </c>
      <c r="X627" t="s">
        <v>10059</v>
      </c>
      <c r="Y627" t="s">
        <v>10060</v>
      </c>
      <c r="Z627" t="s">
        <v>10061</v>
      </c>
      <c r="AA627" t="s">
        <v>10062</v>
      </c>
      <c r="AB627" t="s">
        <v>10063</v>
      </c>
      <c r="AC627" t="s">
        <v>74</v>
      </c>
      <c r="AD627" t="s">
        <v>74</v>
      </c>
      <c r="AE627" t="s">
        <v>74</v>
      </c>
      <c r="AF627" t="s">
        <v>74</v>
      </c>
      <c r="AG627">
        <v>23</v>
      </c>
      <c r="AH627">
        <v>7</v>
      </c>
      <c r="AI627">
        <v>7</v>
      </c>
      <c r="AJ627">
        <v>0</v>
      </c>
      <c r="AK627">
        <v>5</v>
      </c>
      <c r="AL627" t="s">
        <v>4219</v>
      </c>
      <c r="AM627" t="s">
        <v>1593</v>
      </c>
      <c r="AN627" t="s">
        <v>4220</v>
      </c>
      <c r="AO627" t="s">
        <v>4851</v>
      </c>
      <c r="AP627" t="s">
        <v>4877</v>
      </c>
      <c r="AQ627" t="s">
        <v>74</v>
      </c>
      <c r="AR627" t="s">
        <v>4852</v>
      </c>
      <c r="AS627" t="s">
        <v>4853</v>
      </c>
      <c r="AT627" t="s">
        <v>9849</v>
      </c>
      <c r="AU627">
        <v>2007</v>
      </c>
      <c r="AV627">
        <v>19</v>
      </c>
      <c r="AW627">
        <v>1</v>
      </c>
      <c r="AX627" t="s">
        <v>74</v>
      </c>
      <c r="AY627" t="s">
        <v>74</v>
      </c>
      <c r="AZ627" t="s">
        <v>74</v>
      </c>
      <c r="BA627" t="s">
        <v>74</v>
      </c>
      <c r="BB627">
        <v>125</v>
      </c>
      <c r="BC627">
        <v>128</v>
      </c>
      <c r="BD627" t="s">
        <v>74</v>
      </c>
      <c r="BE627" t="s">
        <v>10064</v>
      </c>
      <c r="BF627" t="str">
        <f>HYPERLINK("http://dx.doi.org/10.1017/S095410200700017X","http://dx.doi.org/10.1017/S095410200700017X")</f>
        <v>http://dx.doi.org/10.1017/S095410200700017X</v>
      </c>
      <c r="BG627" t="s">
        <v>74</v>
      </c>
      <c r="BH627" t="s">
        <v>74</v>
      </c>
      <c r="BI627">
        <v>4</v>
      </c>
      <c r="BJ627" t="s">
        <v>4855</v>
      </c>
      <c r="BK627" t="s">
        <v>98</v>
      </c>
      <c r="BL627" t="s">
        <v>4856</v>
      </c>
      <c r="BM627" t="s">
        <v>9851</v>
      </c>
      <c r="BN627" t="s">
        <v>74</v>
      </c>
      <c r="BO627" t="s">
        <v>74</v>
      </c>
      <c r="BP627" t="s">
        <v>74</v>
      </c>
      <c r="BQ627" t="s">
        <v>74</v>
      </c>
      <c r="BR627" t="s">
        <v>101</v>
      </c>
      <c r="BS627" t="s">
        <v>10065</v>
      </c>
      <c r="BT627" t="str">
        <f>HYPERLINK("https%3A%2F%2Fwww.webofscience.com%2Fwos%2Fwoscc%2Ffull-record%2FWOS:000244918600017","View Full Record in Web of Science")</f>
        <v>View Full Record in Web of Science</v>
      </c>
    </row>
    <row r="628" spans="1:72" x14ac:dyDescent="0.15">
      <c r="A628" t="s">
        <v>72</v>
      </c>
      <c r="B628" t="s">
        <v>10066</v>
      </c>
      <c r="C628" t="s">
        <v>74</v>
      </c>
      <c r="D628" t="s">
        <v>74</v>
      </c>
      <c r="E628" t="s">
        <v>74</v>
      </c>
      <c r="F628" t="s">
        <v>10067</v>
      </c>
      <c r="G628" t="s">
        <v>74</v>
      </c>
      <c r="H628" t="s">
        <v>74</v>
      </c>
      <c r="I628" t="s">
        <v>10068</v>
      </c>
      <c r="J628" t="s">
        <v>4849</v>
      </c>
      <c r="K628" t="s">
        <v>74</v>
      </c>
      <c r="L628" t="s">
        <v>74</v>
      </c>
      <c r="M628" t="s">
        <v>78</v>
      </c>
      <c r="N628" t="s">
        <v>79</v>
      </c>
      <c r="O628" t="s">
        <v>74</v>
      </c>
      <c r="P628" t="s">
        <v>74</v>
      </c>
      <c r="Q628" t="s">
        <v>74</v>
      </c>
      <c r="R628" t="s">
        <v>74</v>
      </c>
      <c r="S628" t="s">
        <v>74</v>
      </c>
      <c r="T628" t="s">
        <v>74</v>
      </c>
      <c r="U628" t="s">
        <v>74</v>
      </c>
      <c r="V628" t="s">
        <v>74</v>
      </c>
      <c r="W628" t="s">
        <v>10069</v>
      </c>
      <c r="X628" t="s">
        <v>10070</v>
      </c>
      <c r="Y628" t="s">
        <v>10071</v>
      </c>
      <c r="Z628" t="s">
        <v>10072</v>
      </c>
      <c r="AA628" t="s">
        <v>9618</v>
      </c>
      <c r="AB628" t="s">
        <v>9619</v>
      </c>
      <c r="AC628" t="s">
        <v>74</v>
      </c>
      <c r="AD628" t="s">
        <v>74</v>
      </c>
      <c r="AE628" t="s">
        <v>74</v>
      </c>
      <c r="AF628" t="s">
        <v>74</v>
      </c>
      <c r="AG628">
        <v>3</v>
      </c>
      <c r="AH628">
        <v>2</v>
      </c>
      <c r="AI628">
        <v>2</v>
      </c>
      <c r="AJ628">
        <v>0</v>
      </c>
      <c r="AK628">
        <v>2</v>
      </c>
      <c r="AL628" t="s">
        <v>4219</v>
      </c>
      <c r="AM628" t="s">
        <v>1593</v>
      </c>
      <c r="AN628" t="s">
        <v>4220</v>
      </c>
      <c r="AO628" t="s">
        <v>4851</v>
      </c>
      <c r="AP628" t="s">
        <v>74</v>
      </c>
      <c r="AQ628" t="s">
        <v>74</v>
      </c>
      <c r="AR628" t="s">
        <v>4852</v>
      </c>
      <c r="AS628" t="s">
        <v>4853</v>
      </c>
      <c r="AT628" t="s">
        <v>9849</v>
      </c>
      <c r="AU628">
        <v>2007</v>
      </c>
      <c r="AV628">
        <v>19</v>
      </c>
      <c r="AW628">
        <v>1</v>
      </c>
      <c r="AX628" t="s">
        <v>74</v>
      </c>
      <c r="AY628" t="s">
        <v>74</v>
      </c>
      <c r="AZ628" t="s">
        <v>74</v>
      </c>
      <c r="BA628" t="s">
        <v>74</v>
      </c>
      <c r="BB628">
        <v>129</v>
      </c>
      <c r="BC628">
        <v>130</v>
      </c>
      <c r="BD628" t="s">
        <v>74</v>
      </c>
      <c r="BE628" t="s">
        <v>10073</v>
      </c>
      <c r="BF628" t="str">
        <f>HYPERLINK("http://dx.doi.org/10.1017/S0954102007000181","http://dx.doi.org/10.1017/S0954102007000181")</f>
        <v>http://dx.doi.org/10.1017/S0954102007000181</v>
      </c>
      <c r="BG628" t="s">
        <v>74</v>
      </c>
      <c r="BH628" t="s">
        <v>74</v>
      </c>
      <c r="BI628">
        <v>2</v>
      </c>
      <c r="BJ628" t="s">
        <v>4855</v>
      </c>
      <c r="BK628" t="s">
        <v>98</v>
      </c>
      <c r="BL628" t="s">
        <v>4856</v>
      </c>
      <c r="BM628" t="s">
        <v>9851</v>
      </c>
      <c r="BN628" t="s">
        <v>74</v>
      </c>
      <c r="BO628" t="s">
        <v>74</v>
      </c>
      <c r="BP628" t="s">
        <v>74</v>
      </c>
      <c r="BQ628" t="s">
        <v>74</v>
      </c>
      <c r="BR628" t="s">
        <v>101</v>
      </c>
      <c r="BS628" t="s">
        <v>10074</v>
      </c>
      <c r="BT628" t="str">
        <f>HYPERLINK("https%3A%2F%2Fwww.webofscience.com%2Fwos%2Fwoscc%2Ffull-record%2FWOS:000244918600018","View Full Record in Web of Science")</f>
        <v>View Full Record in Web of Science</v>
      </c>
    </row>
    <row r="629" spans="1:72" x14ac:dyDescent="0.15">
      <c r="A629" t="s">
        <v>72</v>
      </c>
      <c r="B629" t="s">
        <v>10075</v>
      </c>
      <c r="C629" t="s">
        <v>74</v>
      </c>
      <c r="D629" t="s">
        <v>74</v>
      </c>
      <c r="E629" t="s">
        <v>74</v>
      </c>
      <c r="F629" t="s">
        <v>10076</v>
      </c>
      <c r="G629" t="s">
        <v>74</v>
      </c>
      <c r="H629" t="s">
        <v>74</v>
      </c>
      <c r="I629" t="s">
        <v>10077</v>
      </c>
      <c r="J629" t="s">
        <v>4849</v>
      </c>
      <c r="K629" t="s">
        <v>74</v>
      </c>
      <c r="L629" t="s">
        <v>74</v>
      </c>
      <c r="M629" t="s">
        <v>78</v>
      </c>
      <c r="N629" t="s">
        <v>79</v>
      </c>
      <c r="O629" t="s">
        <v>74</v>
      </c>
      <c r="P629" t="s">
        <v>74</v>
      </c>
      <c r="Q629" t="s">
        <v>74</v>
      </c>
      <c r="R629" t="s">
        <v>74</v>
      </c>
      <c r="S629" t="s">
        <v>74</v>
      </c>
      <c r="T629" t="s">
        <v>10078</v>
      </c>
      <c r="U629" t="s">
        <v>10079</v>
      </c>
      <c r="V629" t="s">
        <v>10080</v>
      </c>
      <c r="W629" t="s">
        <v>10081</v>
      </c>
      <c r="X629" t="s">
        <v>10082</v>
      </c>
      <c r="Y629" t="s">
        <v>10083</v>
      </c>
      <c r="Z629" t="s">
        <v>10084</v>
      </c>
      <c r="AA629" t="s">
        <v>10085</v>
      </c>
      <c r="AB629" t="s">
        <v>10086</v>
      </c>
      <c r="AC629" t="s">
        <v>360</v>
      </c>
      <c r="AD629" t="s">
        <v>361</v>
      </c>
      <c r="AE629" t="s">
        <v>74</v>
      </c>
      <c r="AF629" t="s">
        <v>74</v>
      </c>
      <c r="AG629">
        <v>92</v>
      </c>
      <c r="AH629">
        <v>21</v>
      </c>
      <c r="AI629">
        <v>23</v>
      </c>
      <c r="AJ629">
        <v>0</v>
      </c>
      <c r="AK629">
        <v>8</v>
      </c>
      <c r="AL629" t="s">
        <v>4219</v>
      </c>
      <c r="AM629" t="s">
        <v>1593</v>
      </c>
      <c r="AN629" t="s">
        <v>4220</v>
      </c>
      <c r="AO629" t="s">
        <v>4851</v>
      </c>
      <c r="AP629" t="s">
        <v>4877</v>
      </c>
      <c r="AQ629" t="s">
        <v>74</v>
      </c>
      <c r="AR629" t="s">
        <v>4852</v>
      </c>
      <c r="AS629" t="s">
        <v>4853</v>
      </c>
      <c r="AT629" t="s">
        <v>9849</v>
      </c>
      <c r="AU629">
        <v>2007</v>
      </c>
      <c r="AV629">
        <v>19</v>
      </c>
      <c r="AW629">
        <v>1</v>
      </c>
      <c r="AX629" t="s">
        <v>74</v>
      </c>
      <c r="AY629" t="s">
        <v>74</v>
      </c>
      <c r="AZ629" t="s">
        <v>74</v>
      </c>
      <c r="BA629" t="s">
        <v>74</v>
      </c>
      <c r="BB629">
        <v>131</v>
      </c>
      <c r="BC629">
        <v>142</v>
      </c>
      <c r="BD629" t="s">
        <v>74</v>
      </c>
      <c r="BE629" t="s">
        <v>10087</v>
      </c>
      <c r="BF629" t="str">
        <f>HYPERLINK("http://dx.doi.org/10.1017/S0954102007000193","http://dx.doi.org/10.1017/S0954102007000193")</f>
        <v>http://dx.doi.org/10.1017/S0954102007000193</v>
      </c>
      <c r="BG629" t="s">
        <v>74</v>
      </c>
      <c r="BH629" t="s">
        <v>74</v>
      </c>
      <c r="BI629">
        <v>12</v>
      </c>
      <c r="BJ629" t="s">
        <v>4855</v>
      </c>
      <c r="BK629" t="s">
        <v>98</v>
      </c>
      <c r="BL629" t="s">
        <v>4856</v>
      </c>
      <c r="BM629" t="s">
        <v>9851</v>
      </c>
      <c r="BN629" t="s">
        <v>74</v>
      </c>
      <c r="BO629" t="s">
        <v>74</v>
      </c>
      <c r="BP629" t="s">
        <v>74</v>
      </c>
      <c r="BQ629" t="s">
        <v>74</v>
      </c>
      <c r="BR629" t="s">
        <v>101</v>
      </c>
      <c r="BS629" t="s">
        <v>10088</v>
      </c>
      <c r="BT629" t="str">
        <f>HYPERLINK("https%3A%2F%2Fwww.webofscience.com%2Fwos%2Fwoscc%2Ffull-record%2FWOS:000244918600019","View Full Record in Web of Science")</f>
        <v>View Full Record in Web of Science</v>
      </c>
    </row>
    <row r="630" spans="1:72" x14ac:dyDescent="0.15">
      <c r="A630" t="s">
        <v>72</v>
      </c>
      <c r="B630" t="s">
        <v>10089</v>
      </c>
      <c r="C630" t="s">
        <v>74</v>
      </c>
      <c r="D630" t="s">
        <v>74</v>
      </c>
      <c r="E630" t="s">
        <v>74</v>
      </c>
      <c r="F630" t="s">
        <v>10090</v>
      </c>
      <c r="G630" t="s">
        <v>74</v>
      </c>
      <c r="H630" t="s">
        <v>74</v>
      </c>
      <c r="I630" t="s">
        <v>10091</v>
      </c>
      <c r="J630" t="s">
        <v>10092</v>
      </c>
      <c r="K630" t="s">
        <v>74</v>
      </c>
      <c r="L630" t="s">
        <v>74</v>
      </c>
      <c r="M630" t="s">
        <v>78</v>
      </c>
      <c r="N630" t="s">
        <v>79</v>
      </c>
      <c r="O630" t="s">
        <v>74</v>
      </c>
      <c r="P630" t="s">
        <v>74</v>
      </c>
      <c r="Q630" t="s">
        <v>74</v>
      </c>
      <c r="R630" t="s">
        <v>74</v>
      </c>
      <c r="S630" t="s">
        <v>74</v>
      </c>
      <c r="T630" t="s">
        <v>10093</v>
      </c>
      <c r="U630" t="s">
        <v>10094</v>
      </c>
      <c r="V630" t="s">
        <v>10095</v>
      </c>
      <c r="W630" t="s">
        <v>10096</v>
      </c>
      <c r="X630" t="s">
        <v>10097</v>
      </c>
      <c r="Y630" t="s">
        <v>10098</v>
      </c>
      <c r="Z630" t="s">
        <v>10099</v>
      </c>
      <c r="AA630" t="s">
        <v>10100</v>
      </c>
      <c r="AB630" t="s">
        <v>10101</v>
      </c>
      <c r="AC630" t="s">
        <v>4175</v>
      </c>
      <c r="AD630" t="s">
        <v>140</v>
      </c>
      <c r="AE630" t="s">
        <v>74</v>
      </c>
      <c r="AF630" t="s">
        <v>74</v>
      </c>
      <c r="AG630">
        <v>45</v>
      </c>
      <c r="AH630">
        <v>26</v>
      </c>
      <c r="AI630">
        <v>29</v>
      </c>
      <c r="AJ630">
        <v>2</v>
      </c>
      <c r="AK630">
        <v>10</v>
      </c>
      <c r="AL630" t="s">
        <v>1202</v>
      </c>
      <c r="AM630" t="s">
        <v>1203</v>
      </c>
      <c r="AN630" t="s">
        <v>1204</v>
      </c>
      <c r="AO630" t="s">
        <v>10102</v>
      </c>
      <c r="AP630" t="s">
        <v>10103</v>
      </c>
      <c r="AQ630" t="s">
        <v>74</v>
      </c>
      <c r="AR630" t="s">
        <v>10104</v>
      </c>
      <c r="AS630" t="s">
        <v>10105</v>
      </c>
      <c r="AT630" t="s">
        <v>9849</v>
      </c>
      <c r="AU630">
        <v>2007</v>
      </c>
      <c r="AV630">
        <v>64</v>
      </c>
      <c r="AW630">
        <v>3</v>
      </c>
      <c r="AX630" t="s">
        <v>74</v>
      </c>
      <c r="AY630" t="s">
        <v>74</v>
      </c>
      <c r="AZ630" t="s">
        <v>74</v>
      </c>
      <c r="BA630" t="s">
        <v>74</v>
      </c>
      <c r="BB630">
        <v>111</v>
      </c>
      <c r="BC630">
        <v>119</v>
      </c>
      <c r="BD630" t="s">
        <v>74</v>
      </c>
      <c r="BE630" t="s">
        <v>10106</v>
      </c>
      <c r="BF630" t="str">
        <f>HYPERLINK("http://dx.doi.org/10.1002/arch.20160","http://dx.doi.org/10.1002/arch.20160")</f>
        <v>http://dx.doi.org/10.1002/arch.20160</v>
      </c>
      <c r="BG630" t="s">
        <v>74</v>
      </c>
      <c r="BH630" t="s">
        <v>74</v>
      </c>
      <c r="BI630">
        <v>9</v>
      </c>
      <c r="BJ630" t="s">
        <v>10107</v>
      </c>
      <c r="BK630" t="s">
        <v>98</v>
      </c>
      <c r="BL630" t="s">
        <v>10107</v>
      </c>
      <c r="BM630" t="s">
        <v>10108</v>
      </c>
      <c r="BN630">
        <v>17294423</v>
      </c>
      <c r="BO630" t="s">
        <v>74</v>
      </c>
      <c r="BP630" t="s">
        <v>74</v>
      </c>
      <c r="BQ630" t="s">
        <v>74</v>
      </c>
      <c r="BR630" t="s">
        <v>101</v>
      </c>
      <c r="BS630" t="s">
        <v>10109</v>
      </c>
      <c r="BT630" t="str">
        <f>HYPERLINK("https%3A%2F%2Fwww.webofscience.com%2Fwos%2Fwoscc%2Ffull-record%2FWOS:000244443900001","View Full Record in Web of Science")</f>
        <v>View Full Record in Web of Science</v>
      </c>
    </row>
    <row r="631" spans="1:72" x14ac:dyDescent="0.15">
      <c r="A631" t="s">
        <v>72</v>
      </c>
      <c r="B631" t="s">
        <v>10110</v>
      </c>
      <c r="C631" t="s">
        <v>74</v>
      </c>
      <c r="D631" t="s">
        <v>74</v>
      </c>
      <c r="E631" t="s">
        <v>74</v>
      </c>
      <c r="F631" t="s">
        <v>10111</v>
      </c>
      <c r="G631" t="s">
        <v>74</v>
      </c>
      <c r="H631" t="s">
        <v>74</v>
      </c>
      <c r="I631" t="s">
        <v>10112</v>
      </c>
      <c r="J631" t="s">
        <v>10113</v>
      </c>
      <c r="K631" t="s">
        <v>74</v>
      </c>
      <c r="L631" t="s">
        <v>74</v>
      </c>
      <c r="M631" t="s">
        <v>78</v>
      </c>
      <c r="N631" t="s">
        <v>514</v>
      </c>
      <c r="O631" t="s">
        <v>10114</v>
      </c>
      <c r="P631" t="s">
        <v>10115</v>
      </c>
      <c r="Q631" t="s">
        <v>10116</v>
      </c>
      <c r="R631" t="s">
        <v>74</v>
      </c>
      <c r="S631" t="s">
        <v>10117</v>
      </c>
      <c r="T631" t="s">
        <v>10118</v>
      </c>
      <c r="U631" t="s">
        <v>10119</v>
      </c>
      <c r="V631" t="s">
        <v>10120</v>
      </c>
      <c r="W631" t="s">
        <v>10121</v>
      </c>
      <c r="X631" t="s">
        <v>10122</v>
      </c>
      <c r="Y631" t="s">
        <v>10123</v>
      </c>
      <c r="Z631" t="s">
        <v>10124</v>
      </c>
      <c r="AA631" t="s">
        <v>10125</v>
      </c>
      <c r="AB631" t="s">
        <v>10126</v>
      </c>
      <c r="AC631" t="s">
        <v>74</v>
      </c>
      <c r="AD631" t="s">
        <v>74</v>
      </c>
      <c r="AE631" t="s">
        <v>74</v>
      </c>
      <c r="AF631" t="s">
        <v>74</v>
      </c>
      <c r="AG631">
        <v>56</v>
      </c>
      <c r="AH631">
        <v>47</v>
      </c>
      <c r="AI631">
        <v>60</v>
      </c>
      <c r="AJ631">
        <v>0</v>
      </c>
      <c r="AK631">
        <v>43</v>
      </c>
      <c r="AL631" t="s">
        <v>1592</v>
      </c>
      <c r="AM631" t="s">
        <v>2052</v>
      </c>
      <c r="AN631" t="s">
        <v>2053</v>
      </c>
      <c r="AO631" t="s">
        <v>10127</v>
      </c>
      <c r="AP631" t="s">
        <v>10128</v>
      </c>
      <c r="AQ631" t="s">
        <v>74</v>
      </c>
      <c r="AR631" t="s">
        <v>10113</v>
      </c>
      <c r="AS631" t="s">
        <v>10129</v>
      </c>
      <c r="AT631" t="s">
        <v>9849</v>
      </c>
      <c r="AU631">
        <v>2007</v>
      </c>
      <c r="AV631">
        <v>83</v>
      </c>
      <c r="AW631" t="s">
        <v>1039</v>
      </c>
      <c r="AX631" t="s">
        <v>74</v>
      </c>
      <c r="AY631" t="s">
        <v>74</v>
      </c>
      <c r="AZ631" t="s">
        <v>74</v>
      </c>
      <c r="BA631" t="s">
        <v>74</v>
      </c>
      <c r="BB631">
        <v>3</v>
      </c>
      <c r="BC631">
        <v>18</v>
      </c>
      <c r="BD631" t="s">
        <v>74</v>
      </c>
      <c r="BE631" t="s">
        <v>10130</v>
      </c>
      <c r="BF631" t="str">
        <f>HYPERLINK("http://dx.doi.org/10.1007/s10533-007-9087-1","http://dx.doi.org/10.1007/s10533-007-9087-1")</f>
        <v>http://dx.doi.org/10.1007/s10533-007-9087-1</v>
      </c>
      <c r="BG631" t="s">
        <v>74</v>
      </c>
      <c r="BH631" t="s">
        <v>74</v>
      </c>
      <c r="BI631">
        <v>16</v>
      </c>
      <c r="BJ631" t="s">
        <v>8263</v>
      </c>
      <c r="BK631" t="s">
        <v>535</v>
      </c>
      <c r="BL631" t="s">
        <v>8264</v>
      </c>
      <c r="BM631" t="s">
        <v>10131</v>
      </c>
      <c r="BN631" t="s">
        <v>74</v>
      </c>
      <c r="BO631" t="s">
        <v>1249</v>
      </c>
      <c r="BP631" t="s">
        <v>74</v>
      </c>
      <c r="BQ631" t="s">
        <v>74</v>
      </c>
      <c r="BR631" t="s">
        <v>101</v>
      </c>
      <c r="BS631" t="s">
        <v>10132</v>
      </c>
      <c r="BT631" t="str">
        <f>HYPERLINK("https%3A%2F%2Fwww.webofscience.com%2Fwos%2Fwoscc%2Ffull-record%2FWOS:000246561700002","View Full Record in Web of Science")</f>
        <v>View Full Record in Web of Science</v>
      </c>
    </row>
    <row r="632" spans="1:72" x14ac:dyDescent="0.15">
      <c r="A632" t="s">
        <v>72</v>
      </c>
      <c r="B632" t="s">
        <v>10133</v>
      </c>
      <c r="C632" t="s">
        <v>74</v>
      </c>
      <c r="D632" t="s">
        <v>74</v>
      </c>
      <c r="E632" t="s">
        <v>74</v>
      </c>
      <c r="F632" t="s">
        <v>10134</v>
      </c>
      <c r="G632" t="s">
        <v>74</v>
      </c>
      <c r="H632" t="s">
        <v>74</v>
      </c>
      <c r="I632" t="s">
        <v>10135</v>
      </c>
      <c r="J632" t="s">
        <v>10113</v>
      </c>
      <c r="K632" t="s">
        <v>74</v>
      </c>
      <c r="L632" t="s">
        <v>74</v>
      </c>
      <c r="M632" t="s">
        <v>78</v>
      </c>
      <c r="N632" t="s">
        <v>514</v>
      </c>
      <c r="O632" t="s">
        <v>10114</v>
      </c>
      <c r="P632" t="s">
        <v>10115</v>
      </c>
      <c r="Q632" t="s">
        <v>10116</v>
      </c>
      <c r="R632" t="s">
        <v>74</v>
      </c>
      <c r="S632" t="s">
        <v>10117</v>
      </c>
      <c r="T632" t="s">
        <v>10136</v>
      </c>
      <c r="U632" t="s">
        <v>10137</v>
      </c>
      <c r="V632" t="s">
        <v>10138</v>
      </c>
      <c r="W632" t="s">
        <v>10139</v>
      </c>
      <c r="X632" t="s">
        <v>10140</v>
      </c>
      <c r="Y632" t="s">
        <v>10141</v>
      </c>
      <c r="Z632" t="s">
        <v>10142</v>
      </c>
      <c r="AA632" t="s">
        <v>10143</v>
      </c>
      <c r="AB632" t="s">
        <v>10144</v>
      </c>
      <c r="AC632" t="s">
        <v>74</v>
      </c>
      <c r="AD632" t="s">
        <v>74</v>
      </c>
      <c r="AE632" t="s">
        <v>74</v>
      </c>
      <c r="AF632" t="s">
        <v>74</v>
      </c>
      <c r="AG632">
        <v>28</v>
      </c>
      <c r="AH632">
        <v>9</v>
      </c>
      <c r="AI632">
        <v>10</v>
      </c>
      <c r="AJ632">
        <v>1</v>
      </c>
      <c r="AK632">
        <v>19</v>
      </c>
      <c r="AL632" t="s">
        <v>1592</v>
      </c>
      <c r="AM632" t="s">
        <v>2052</v>
      </c>
      <c r="AN632" t="s">
        <v>2053</v>
      </c>
      <c r="AO632" t="s">
        <v>10127</v>
      </c>
      <c r="AP632" t="s">
        <v>74</v>
      </c>
      <c r="AQ632" t="s">
        <v>74</v>
      </c>
      <c r="AR632" t="s">
        <v>10113</v>
      </c>
      <c r="AS632" t="s">
        <v>10129</v>
      </c>
      <c r="AT632" t="s">
        <v>9849</v>
      </c>
      <c r="AU632">
        <v>2007</v>
      </c>
      <c r="AV632">
        <v>83</v>
      </c>
      <c r="AW632" t="s">
        <v>1039</v>
      </c>
      <c r="AX632" t="s">
        <v>74</v>
      </c>
      <c r="AY632" t="s">
        <v>74</v>
      </c>
      <c r="AZ632" t="s">
        <v>74</v>
      </c>
      <c r="BA632" t="s">
        <v>74</v>
      </c>
      <c r="BB632">
        <v>19</v>
      </c>
      <c r="BC632">
        <v>27</v>
      </c>
      <c r="BD632" t="s">
        <v>74</v>
      </c>
      <c r="BE632" t="s">
        <v>10145</v>
      </c>
      <c r="BF632" t="str">
        <f>HYPERLINK("http://dx.doi.org/10.1007/s10533-007-9084-4","http://dx.doi.org/10.1007/s10533-007-9084-4")</f>
        <v>http://dx.doi.org/10.1007/s10533-007-9084-4</v>
      </c>
      <c r="BG632" t="s">
        <v>74</v>
      </c>
      <c r="BH632" t="s">
        <v>74</v>
      </c>
      <c r="BI632">
        <v>9</v>
      </c>
      <c r="BJ632" t="s">
        <v>8263</v>
      </c>
      <c r="BK632" t="s">
        <v>745</v>
      </c>
      <c r="BL632" t="s">
        <v>8264</v>
      </c>
      <c r="BM632" t="s">
        <v>10131</v>
      </c>
      <c r="BN632" t="s">
        <v>74</v>
      </c>
      <c r="BO632" t="s">
        <v>1249</v>
      </c>
      <c r="BP632" t="s">
        <v>74</v>
      </c>
      <c r="BQ632" t="s">
        <v>74</v>
      </c>
      <c r="BR632" t="s">
        <v>101</v>
      </c>
      <c r="BS632" t="s">
        <v>10146</v>
      </c>
      <c r="BT632" t="str">
        <f>HYPERLINK("https%3A%2F%2Fwww.webofscience.com%2Fwos%2Fwoscc%2Ffull-record%2FWOS:000246561700003","View Full Record in Web of Science")</f>
        <v>View Full Record in Web of Science</v>
      </c>
    </row>
    <row r="633" spans="1:72" x14ac:dyDescent="0.15">
      <c r="A633" t="s">
        <v>72</v>
      </c>
      <c r="B633" t="s">
        <v>10147</v>
      </c>
      <c r="C633" t="s">
        <v>74</v>
      </c>
      <c r="D633" t="s">
        <v>74</v>
      </c>
      <c r="E633" t="s">
        <v>74</v>
      </c>
      <c r="F633" t="s">
        <v>10148</v>
      </c>
      <c r="G633" t="s">
        <v>74</v>
      </c>
      <c r="H633" t="s">
        <v>74</v>
      </c>
      <c r="I633" t="s">
        <v>10149</v>
      </c>
      <c r="J633" t="s">
        <v>10113</v>
      </c>
      <c r="K633" t="s">
        <v>74</v>
      </c>
      <c r="L633" t="s">
        <v>74</v>
      </c>
      <c r="M633" t="s">
        <v>78</v>
      </c>
      <c r="N633" t="s">
        <v>514</v>
      </c>
      <c r="O633" t="s">
        <v>10114</v>
      </c>
      <c r="P633" t="s">
        <v>10115</v>
      </c>
      <c r="Q633" t="s">
        <v>10116</v>
      </c>
      <c r="R633" t="s">
        <v>74</v>
      </c>
      <c r="S633" t="s">
        <v>10117</v>
      </c>
      <c r="T633" t="s">
        <v>10150</v>
      </c>
      <c r="U633" t="s">
        <v>10151</v>
      </c>
      <c r="V633" t="s">
        <v>10152</v>
      </c>
      <c r="W633" t="s">
        <v>10153</v>
      </c>
      <c r="X633" t="s">
        <v>10154</v>
      </c>
      <c r="Y633" t="s">
        <v>10155</v>
      </c>
      <c r="Z633" t="s">
        <v>10156</v>
      </c>
      <c r="AA633" t="s">
        <v>74</v>
      </c>
      <c r="AB633" t="s">
        <v>74</v>
      </c>
      <c r="AC633" t="s">
        <v>74</v>
      </c>
      <c r="AD633" t="s">
        <v>74</v>
      </c>
      <c r="AE633" t="s">
        <v>74</v>
      </c>
      <c r="AF633" t="s">
        <v>74</v>
      </c>
      <c r="AG633">
        <v>40</v>
      </c>
      <c r="AH633">
        <v>55</v>
      </c>
      <c r="AI633">
        <v>62</v>
      </c>
      <c r="AJ633">
        <v>1</v>
      </c>
      <c r="AK633">
        <v>26</v>
      </c>
      <c r="AL633" t="s">
        <v>1592</v>
      </c>
      <c r="AM633" t="s">
        <v>2052</v>
      </c>
      <c r="AN633" t="s">
        <v>2053</v>
      </c>
      <c r="AO633" t="s">
        <v>10127</v>
      </c>
      <c r="AP633" t="s">
        <v>74</v>
      </c>
      <c r="AQ633" t="s">
        <v>74</v>
      </c>
      <c r="AR633" t="s">
        <v>10113</v>
      </c>
      <c r="AS633" t="s">
        <v>10129</v>
      </c>
      <c r="AT633" t="s">
        <v>9849</v>
      </c>
      <c r="AU633">
        <v>2007</v>
      </c>
      <c r="AV633">
        <v>83</v>
      </c>
      <c r="AW633" t="s">
        <v>1039</v>
      </c>
      <c r="AX633" t="s">
        <v>74</v>
      </c>
      <c r="AY633" t="s">
        <v>74</v>
      </c>
      <c r="AZ633" t="s">
        <v>74</v>
      </c>
      <c r="BA633" t="s">
        <v>74</v>
      </c>
      <c r="BB633">
        <v>61</v>
      </c>
      <c r="BC633">
        <v>70</v>
      </c>
      <c r="BD633" t="s">
        <v>74</v>
      </c>
      <c r="BE633" t="s">
        <v>10157</v>
      </c>
      <c r="BF633" t="str">
        <f>HYPERLINK("http://dx.doi.org/10.1007/s10533-007-9083-5","http://dx.doi.org/10.1007/s10533-007-9083-5")</f>
        <v>http://dx.doi.org/10.1007/s10533-007-9083-5</v>
      </c>
      <c r="BG633" t="s">
        <v>74</v>
      </c>
      <c r="BH633" t="s">
        <v>74</v>
      </c>
      <c r="BI633">
        <v>10</v>
      </c>
      <c r="BJ633" t="s">
        <v>8263</v>
      </c>
      <c r="BK633" t="s">
        <v>745</v>
      </c>
      <c r="BL633" t="s">
        <v>8264</v>
      </c>
      <c r="BM633" t="s">
        <v>10131</v>
      </c>
      <c r="BN633" t="s">
        <v>74</v>
      </c>
      <c r="BO633" t="s">
        <v>10158</v>
      </c>
      <c r="BP633" t="s">
        <v>74</v>
      </c>
      <c r="BQ633" t="s">
        <v>74</v>
      </c>
      <c r="BR633" t="s">
        <v>101</v>
      </c>
      <c r="BS633" t="s">
        <v>10159</v>
      </c>
      <c r="BT633" t="str">
        <f>HYPERLINK("https%3A%2F%2Fwww.webofscience.com%2Fwos%2Fwoscc%2Ffull-record%2FWOS:000246561700006","View Full Record in Web of Science")</f>
        <v>View Full Record in Web of Science</v>
      </c>
    </row>
    <row r="634" spans="1:72" x14ac:dyDescent="0.15">
      <c r="A634" t="s">
        <v>72</v>
      </c>
      <c r="B634" t="s">
        <v>10160</v>
      </c>
      <c r="C634" t="s">
        <v>74</v>
      </c>
      <c r="D634" t="s">
        <v>74</v>
      </c>
      <c r="E634" t="s">
        <v>74</v>
      </c>
      <c r="F634" t="s">
        <v>10161</v>
      </c>
      <c r="G634" t="s">
        <v>74</v>
      </c>
      <c r="H634" t="s">
        <v>74</v>
      </c>
      <c r="I634" t="s">
        <v>10162</v>
      </c>
      <c r="J634" t="s">
        <v>10113</v>
      </c>
      <c r="K634" t="s">
        <v>74</v>
      </c>
      <c r="L634" t="s">
        <v>74</v>
      </c>
      <c r="M634" t="s">
        <v>78</v>
      </c>
      <c r="N634" t="s">
        <v>514</v>
      </c>
      <c r="O634" t="s">
        <v>10114</v>
      </c>
      <c r="P634" t="s">
        <v>10115</v>
      </c>
      <c r="Q634" t="s">
        <v>10116</v>
      </c>
      <c r="R634" t="s">
        <v>74</v>
      </c>
      <c r="S634" t="s">
        <v>10117</v>
      </c>
      <c r="T634" t="s">
        <v>10163</v>
      </c>
      <c r="U634" t="s">
        <v>10164</v>
      </c>
      <c r="V634" t="s">
        <v>10165</v>
      </c>
      <c r="W634" t="s">
        <v>10166</v>
      </c>
      <c r="X634" t="s">
        <v>10167</v>
      </c>
      <c r="Y634" t="s">
        <v>10168</v>
      </c>
      <c r="Z634" t="s">
        <v>10169</v>
      </c>
      <c r="AA634" t="s">
        <v>74</v>
      </c>
      <c r="AB634" t="s">
        <v>10170</v>
      </c>
      <c r="AC634" t="s">
        <v>74</v>
      </c>
      <c r="AD634" t="s">
        <v>74</v>
      </c>
      <c r="AE634" t="s">
        <v>74</v>
      </c>
      <c r="AF634" t="s">
        <v>74</v>
      </c>
      <c r="AG634">
        <v>86</v>
      </c>
      <c r="AH634">
        <v>57</v>
      </c>
      <c r="AI634">
        <v>63</v>
      </c>
      <c r="AJ634">
        <v>0</v>
      </c>
      <c r="AK634">
        <v>27</v>
      </c>
      <c r="AL634" t="s">
        <v>1592</v>
      </c>
      <c r="AM634" t="s">
        <v>2052</v>
      </c>
      <c r="AN634" t="s">
        <v>2053</v>
      </c>
      <c r="AO634" t="s">
        <v>10127</v>
      </c>
      <c r="AP634" t="s">
        <v>10128</v>
      </c>
      <c r="AQ634" t="s">
        <v>74</v>
      </c>
      <c r="AR634" t="s">
        <v>10113</v>
      </c>
      <c r="AS634" t="s">
        <v>10129</v>
      </c>
      <c r="AT634" t="s">
        <v>9849</v>
      </c>
      <c r="AU634">
        <v>2007</v>
      </c>
      <c r="AV634">
        <v>83</v>
      </c>
      <c r="AW634" t="s">
        <v>1039</v>
      </c>
      <c r="AX634" t="s">
        <v>74</v>
      </c>
      <c r="AY634" t="s">
        <v>74</v>
      </c>
      <c r="AZ634" t="s">
        <v>74</v>
      </c>
      <c r="BA634" t="s">
        <v>74</v>
      </c>
      <c r="BB634">
        <v>83</v>
      </c>
      <c r="BC634">
        <v>97</v>
      </c>
      <c r="BD634" t="s">
        <v>74</v>
      </c>
      <c r="BE634" t="s">
        <v>10171</v>
      </c>
      <c r="BF634" t="str">
        <f>HYPERLINK("http://dx.doi.org/10.1007/s10533-007-9081-7","http://dx.doi.org/10.1007/s10533-007-9081-7")</f>
        <v>http://dx.doi.org/10.1007/s10533-007-9081-7</v>
      </c>
      <c r="BG634" t="s">
        <v>74</v>
      </c>
      <c r="BH634" t="s">
        <v>74</v>
      </c>
      <c r="BI634">
        <v>15</v>
      </c>
      <c r="BJ634" t="s">
        <v>8263</v>
      </c>
      <c r="BK634" t="s">
        <v>535</v>
      </c>
      <c r="BL634" t="s">
        <v>8264</v>
      </c>
      <c r="BM634" t="s">
        <v>10131</v>
      </c>
      <c r="BN634" t="s">
        <v>74</v>
      </c>
      <c r="BO634" t="s">
        <v>74</v>
      </c>
      <c r="BP634" t="s">
        <v>74</v>
      </c>
      <c r="BQ634" t="s">
        <v>74</v>
      </c>
      <c r="BR634" t="s">
        <v>101</v>
      </c>
      <c r="BS634" t="s">
        <v>10172</v>
      </c>
      <c r="BT634" t="str">
        <f>HYPERLINK("https%3A%2F%2Fwww.webofscience.com%2Fwos%2Fwoscc%2Ffull-record%2FWOS:000246561700008","View Full Record in Web of Science")</f>
        <v>View Full Record in Web of Science</v>
      </c>
    </row>
    <row r="635" spans="1:72" x14ac:dyDescent="0.15">
      <c r="A635" t="s">
        <v>72</v>
      </c>
      <c r="B635" t="s">
        <v>10173</v>
      </c>
      <c r="C635" t="s">
        <v>74</v>
      </c>
      <c r="D635" t="s">
        <v>74</v>
      </c>
      <c r="E635" t="s">
        <v>74</v>
      </c>
      <c r="F635" t="s">
        <v>10174</v>
      </c>
      <c r="G635" t="s">
        <v>74</v>
      </c>
      <c r="H635" t="s">
        <v>74</v>
      </c>
      <c r="I635" t="s">
        <v>10175</v>
      </c>
      <c r="J635" t="s">
        <v>10113</v>
      </c>
      <c r="K635" t="s">
        <v>74</v>
      </c>
      <c r="L635" t="s">
        <v>74</v>
      </c>
      <c r="M635" t="s">
        <v>78</v>
      </c>
      <c r="N635" t="s">
        <v>514</v>
      </c>
      <c r="O635" t="s">
        <v>10114</v>
      </c>
      <c r="P635" t="s">
        <v>10115</v>
      </c>
      <c r="Q635" t="s">
        <v>10116</v>
      </c>
      <c r="R635" t="s">
        <v>74</v>
      </c>
      <c r="S635" t="s">
        <v>10117</v>
      </c>
      <c r="T635" t="s">
        <v>10176</v>
      </c>
      <c r="U635" t="s">
        <v>10177</v>
      </c>
      <c r="V635" t="s">
        <v>10178</v>
      </c>
      <c r="W635" t="s">
        <v>10179</v>
      </c>
      <c r="X635" t="s">
        <v>10180</v>
      </c>
      <c r="Y635" t="s">
        <v>10181</v>
      </c>
      <c r="Z635" t="s">
        <v>10182</v>
      </c>
      <c r="AA635" t="s">
        <v>74</v>
      </c>
      <c r="AB635" t="s">
        <v>74</v>
      </c>
      <c r="AC635" t="s">
        <v>74</v>
      </c>
      <c r="AD635" t="s">
        <v>74</v>
      </c>
      <c r="AE635" t="s">
        <v>74</v>
      </c>
      <c r="AF635" t="s">
        <v>74</v>
      </c>
      <c r="AG635">
        <v>81</v>
      </c>
      <c r="AH635">
        <v>18</v>
      </c>
      <c r="AI635">
        <v>20</v>
      </c>
      <c r="AJ635">
        <v>1</v>
      </c>
      <c r="AK635">
        <v>29</v>
      </c>
      <c r="AL635" t="s">
        <v>1592</v>
      </c>
      <c r="AM635" t="s">
        <v>2052</v>
      </c>
      <c r="AN635" t="s">
        <v>2053</v>
      </c>
      <c r="AO635" t="s">
        <v>10127</v>
      </c>
      <c r="AP635" t="s">
        <v>10128</v>
      </c>
      <c r="AQ635" t="s">
        <v>74</v>
      </c>
      <c r="AR635" t="s">
        <v>10113</v>
      </c>
      <c r="AS635" t="s">
        <v>10129</v>
      </c>
      <c r="AT635" t="s">
        <v>9849</v>
      </c>
      <c r="AU635">
        <v>2007</v>
      </c>
      <c r="AV635">
        <v>83</v>
      </c>
      <c r="AW635" t="s">
        <v>1039</v>
      </c>
      <c r="AX635" t="s">
        <v>74</v>
      </c>
      <c r="AY635" t="s">
        <v>74</v>
      </c>
      <c r="AZ635" t="s">
        <v>74</v>
      </c>
      <c r="BA635" t="s">
        <v>74</v>
      </c>
      <c r="BB635">
        <v>119</v>
      </c>
      <c r="BC635">
        <v>135</v>
      </c>
      <c r="BD635" t="s">
        <v>74</v>
      </c>
      <c r="BE635" t="s">
        <v>10183</v>
      </c>
      <c r="BF635" t="str">
        <f>HYPERLINK("http://dx.doi.org/10.1007/s10533-007-9079-1","http://dx.doi.org/10.1007/s10533-007-9079-1")</f>
        <v>http://dx.doi.org/10.1007/s10533-007-9079-1</v>
      </c>
      <c r="BG635" t="s">
        <v>74</v>
      </c>
      <c r="BH635" t="s">
        <v>74</v>
      </c>
      <c r="BI635">
        <v>17</v>
      </c>
      <c r="BJ635" t="s">
        <v>8263</v>
      </c>
      <c r="BK635" t="s">
        <v>535</v>
      </c>
      <c r="BL635" t="s">
        <v>8264</v>
      </c>
      <c r="BM635" t="s">
        <v>10131</v>
      </c>
      <c r="BN635" t="s">
        <v>74</v>
      </c>
      <c r="BO635" t="s">
        <v>74</v>
      </c>
      <c r="BP635" t="s">
        <v>74</v>
      </c>
      <c r="BQ635" t="s">
        <v>74</v>
      </c>
      <c r="BR635" t="s">
        <v>101</v>
      </c>
      <c r="BS635" t="s">
        <v>10184</v>
      </c>
      <c r="BT635" t="str">
        <f>HYPERLINK("https%3A%2F%2Fwww.webofscience.com%2Fwos%2Fwoscc%2Ffull-record%2FWOS:000246561700010","View Full Record in Web of Science")</f>
        <v>View Full Record in Web of Science</v>
      </c>
    </row>
    <row r="636" spans="1:72" x14ac:dyDescent="0.15">
      <c r="A636" t="s">
        <v>72</v>
      </c>
      <c r="B636" t="s">
        <v>10185</v>
      </c>
      <c r="C636" t="s">
        <v>74</v>
      </c>
      <c r="D636" t="s">
        <v>74</v>
      </c>
      <c r="E636" t="s">
        <v>74</v>
      </c>
      <c r="F636" t="s">
        <v>10186</v>
      </c>
      <c r="G636" t="s">
        <v>74</v>
      </c>
      <c r="H636" t="s">
        <v>74</v>
      </c>
      <c r="I636" t="s">
        <v>10187</v>
      </c>
      <c r="J636" t="s">
        <v>10113</v>
      </c>
      <c r="K636" t="s">
        <v>74</v>
      </c>
      <c r="L636" t="s">
        <v>74</v>
      </c>
      <c r="M636" t="s">
        <v>78</v>
      </c>
      <c r="N636" t="s">
        <v>514</v>
      </c>
      <c r="O636" t="s">
        <v>10114</v>
      </c>
      <c r="P636" t="s">
        <v>10115</v>
      </c>
      <c r="Q636" t="s">
        <v>10116</v>
      </c>
      <c r="R636" t="s">
        <v>74</v>
      </c>
      <c r="S636" t="s">
        <v>10117</v>
      </c>
      <c r="T636" t="s">
        <v>10188</v>
      </c>
      <c r="U636" t="s">
        <v>10189</v>
      </c>
      <c r="V636" t="s">
        <v>10190</v>
      </c>
      <c r="W636" t="s">
        <v>10191</v>
      </c>
      <c r="X636" t="s">
        <v>10192</v>
      </c>
      <c r="Y636" t="s">
        <v>10193</v>
      </c>
      <c r="Z636" t="s">
        <v>10194</v>
      </c>
      <c r="AA636" t="s">
        <v>10195</v>
      </c>
      <c r="AB636" t="s">
        <v>10196</v>
      </c>
      <c r="AC636" t="s">
        <v>74</v>
      </c>
      <c r="AD636" t="s">
        <v>74</v>
      </c>
      <c r="AE636" t="s">
        <v>74</v>
      </c>
      <c r="AF636" t="s">
        <v>74</v>
      </c>
      <c r="AG636">
        <v>186</v>
      </c>
      <c r="AH636">
        <v>120</v>
      </c>
      <c r="AI636">
        <v>139</v>
      </c>
      <c r="AJ636">
        <v>4</v>
      </c>
      <c r="AK636">
        <v>67</v>
      </c>
      <c r="AL636" t="s">
        <v>1592</v>
      </c>
      <c r="AM636" t="s">
        <v>2052</v>
      </c>
      <c r="AN636" t="s">
        <v>2053</v>
      </c>
      <c r="AO636" t="s">
        <v>10127</v>
      </c>
      <c r="AP636" t="s">
        <v>10128</v>
      </c>
      <c r="AQ636" t="s">
        <v>74</v>
      </c>
      <c r="AR636" t="s">
        <v>10113</v>
      </c>
      <c r="AS636" t="s">
        <v>10129</v>
      </c>
      <c r="AT636" t="s">
        <v>9849</v>
      </c>
      <c r="AU636">
        <v>2007</v>
      </c>
      <c r="AV636">
        <v>83</v>
      </c>
      <c r="AW636" t="s">
        <v>1039</v>
      </c>
      <c r="AX636" t="s">
        <v>74</v>
      </c>
      <c r="AY636" t="s">
        <v>74</v>
      </c>
      <c r="AZ636" t="s">
        <v>74</v>
      </c>
      <c r="BA636" t="s">
        <v>74</v>
      </c>
      <c r="BB636">
        <v>147</v>
      </c>
      <c r="BC636">
        <v>172</v>
      </c>
      <c r="BD636" t="s">
        <v>74</v>
      </c>
      <c r="BE636" t="s">
        <v>10197</v>
      </c>
      <c r="BF636" t="str">
        <f>HYPERLINK("http://dx.doi.org/10.1007/s10533-007-9098-y","http://dx.doi.org/10.1007/s10533-007-9098-y")</f>
        <v>http://dx.doi.org/10.1007/s10533-007-9098-y</v>
      </c>
      <c r="BG636" t="s">
        <v>74</v>
      </c>
      <c r="BH636" t="s">
        <v>74</v>
      </c>
      <c r="BI636">
        <v>26</v>
      </c>
      <c r="BJ636" t="s">
        <v>8263</v>
      </c>
      <c r="BK636" t="s">
        <v>535</v>
      </c>
      <c r="BL636" t="s">
        <v>8264</v>
      </c>
      <c r="BM636" t="s">
        <v>10131</v>
      </c>
      <c r="BN636" t="s">
        <v>74</v>
      </c>
      <c r="BO636" t="s">
        <v>74</v>
      </c>
      <c r="BP636" t="s">
        <v>74</v>
      </c>
      <c r="BQ636" t="s">
        <v>74</v>
      </c>
      <c r="BR636" t="s">
        <v>101</v>
      </c>
      <c r="BS636" t="s">
        <v>10198</v>
      </c>
      <c r="BT636" t="str">
        <f>HYPERLINK("https%3A%2F%2Fwww.webofscience.com%2Fwos%2Fwoscc%2Ffull-record%2FWOS:000246561700012","View Full Record in Web of Science")</f>
        <v>View Full Record in Web of Science</v>
      </c>
    </row>
    <row r="637" spans="1:72" x14ac:dyDescent="0.15">
      <c r="A637" t="s">
        <v>72</v>
      </c>
      <c r="B637" t="s">
        <v>10199</v>
      </c>
      <c r="C637" t="s">
        <v>74</v>
      </c>
      <c r="D637" t="s">
        <v>74</v>
      </c>
      <c r="E637" t="s">
        <v>74</v>
      </c>
      <c r="F637" t="s">
        <v>10200</v>
      </c>
      <c r="G637" t="s">
        <v>74</v>
      </c>
      <c r="H637" t="s">
        <v>74</v>
      </c>
      <c r="I637" t="s">
        <v>10201</v>
      </c>
      <c r="J637" t="s">
        <v>3402</v>
      </c>
      <c r="K637" t="s">
        <v>74</v>
      </c>
      <c r="L637" t="s">
        <v>74</v>
      </c>
      <c r="M637" t="s">
        <v>78</v>
      </c>
      <c r="N637" t="s">
        <v>248</v>
      </c>
      <c r="O637" t="s">
        <v>74</v>
      </c>
      <c r="P637" t="s">
        <v>74</v>
      </c>
      <c r="Q637" t="s">
        <v>74</v>
      </c>
      <c r="R637" t="s">
        <v>74</v>
      </c>
      <c r="S637" t="s">
        <v>74</v>
      </c>
      <c r="T637" t="s">
        <v>10202</v>
      </c>
      <c r="U637" t="s">
        <v>10203</v>
      </c>
      <c r="V637" t="s">
        <v>10204</v>
      </c>
      <c r="W637" t="s">
        <v>10205</v>
      </c>
      <c r="X637" t="s">
        <v>10206</v>
      </c>
      <c r="Y637" t="s">
        <v>10207</v>
      </c>
      <c r="Z637" t="s">
        <v>10208</v>
      </c>
      <c r="AA637" t="s">
        <v>74</v>
      </c>
      <c r="AB637" t="s">
        <v>74</v>
      </c>
      <c r="AC637" t="s">
        <v>74</v>
      </c>
      <c r="AD637" t="s">
        <v>74</v>
      </c>
      <c r="AE637" t="s">
        <v>74</v>
      </c>
      <c r="AF637" t="s">
        <v>74</v>
      </c>
      <c r="AG637">
        <v>82</v>
      </c>
      <c r="AH637">
        <v>44</v>
      </c>
      <c r="AI637">
        <v>54</v>
      </c>
      <c r="AJ637">
        <v>3</v>
      </c>
      <c r="AK637">
        <v>40</v>
      </c>
      <c r="AL637" t="s">
        <v>2740</v>
      </c>
      <c r="AM637" t="s">
        <v>1504</v>
      </c>
      <c r="AN637" t="s">
        <v>2741</v>
      </c>
      <c r="AO637" t="s">
        <v>3412</v>
      </c>
      <c r="AP637" t="s">
        <v>10209</v>
      </c>
      <c r="AQ637" t="s">
        <v>74</v>
      </c>
      <c r="AR637" t="s">
        <v>3413</v>
      </c>
      <c r="AS637" t="s">
        <v>3414</v>
      </c>
      <c r="AT637" t="s">
        <v>9849</v>
      </c>
      <c r="AU637">
        <v>2007</v>
      </c>
      <c r="AV637">
        <v>135</v>
      </c>
      <c r="AW637">
        <v>3</v>
      </c>
      <c r="AX637" t="s">
        <v>74</v>
      </c>
      <c r="AY637" t="s">
        <v>74</v>
      </c>
      <c r="AZ637" t="s">
        <v>74</v>
      </c>
      <c r="BA637" t="s">
        <v>74</v>
      </c>
      <c r="BB637">
        <v>326</v>
      </c>
      <c r="BC637">
        <v>333</v>
      </c>
      <c r="BD637" t="s">
        <v>74</v>
      </c>
      <c r="BE637" t="s">
        <v>10210</v>
      </c>
      <c r="BF637" t="str">
        <f>HYPERLINK("http://dx.doi.org/10.1016/j.biocon.2006.10.006","http://dx.doi.org/10.1016/j.biocon.2006.10.006")</f>
        <v>http://dx.doi.org/10.1016/j.biocon.2006.10.006</v>
      </c>
      <c r="BG637" t="s">
        <v>74</v>
      </c>
      <c r="BH637" t="s">
        <v>74</v>
      </c>
      <c r="BI637">
        <v>8</v>
      </c>
      <c r="BJ637" t="s">
        <v>3416</v>
      </c>
      <c r="BK637" t="s">
        <v>98</v>
      </c>
      <c r="BL637" t="s">
        <v>99</v>
      </c>
      <c r="BM637" t="s">
        <v>10211</v>
      </c>
      <c r="BN637" t="s">
        <v>74</v>
      </c>
      <c r="BO637" t="s">
        <v>74</v>
      </c>
      <c r="BP637" t="s">
        <v>74</v>
      </c>
      <c r="BQ637" t="s">
        <v>74</v>
      </c>
      <c r="BR637" t="s">
        <v>101</v>
      </c>
      <c r="BS637" t="s">
        <v>10212</v>
      </c>
      <c r="BT637" t="str">
        <f>HYPERLINK("https%3A%2F%2Fwww.webofscience.com%2Fwos%2Fwoscc%2Ffull-record%2FWOS:000245695600003","View Full Record in Web of Science")</f>
        <v>View Full Record in Web of Science</v>
      </c>
    </row>
    <row r="638" spans="1:72" x14ac:dyDescent="0.15">
      <c r="A638" t="s">
        <v>72</v>
      </c>
      <c r="B638" t="s">
        <v>10213</v>
      </c>
      <c r="C638" t="s">
        <v>74</v>
      </c>
      <c r="D638" t="s">
        <v>74</v>
      </c>
      <c r="E638" t="s">
        <v>74</v>
      </c>
      <c r="F638" t="s">
        <v>10214</v>
      </c>
      <c r="G638" t="s">
        <v>74</v>
      </c>
      <c r="H638" t="s">
        <v>74</v>
      </c>
      <c r="I638" t="s">
        <v>10215</v>
      </c>
      <c r="J638" t="s">
        <v>8443</v>
      </c>
      <c r="K638" t="s">
        <v>74</v>
      </c>
      <c r="L638" t="s">
        <v>74</v>
      </c>
      <c r="M638" t="s">
        <v>78</v>
      </c>
      <c r="N638" t="s">
        <v>79</v>
      </c>
      <c r="O638" t="s">
        <v>74</v>
      </c>
      <c r="P638" t="s">
        <v>74</v>
      </c>
      <c r="Q638" t="s">
        <v>74</v>
      </c>
      <c r="R638" t="s">
        <v>74</v>
      </c>
      <c r="S638" t="s">
        <v>74</v>
      </c>
      <c r="T638" t="s">
        <v>74</v>
      </c>
      <c r="U638" t="s">
        <v>10216</v>
      </c>
      <c r="V638" t="s">
        <v>10217</v>
      </c>
      <c r="W638" t="s">
        <v>10218</v>
      </c>
      <c r="X638" t="s">
        <v>10219</v>
      </c>
      <c r="Y638" t="s">
        <v>10220</v>
      </c>
      <c r="Z638" t="s">
        <v>10221</v>
      </c>
      <c r="AA638" t="s">
        <v>10222</v>
      </c>
      <c r="AB638" t="s">
        <v>74</v>
      </c>
      <c r="AC638" t="s">
        <v>74</v>
      </c>
      <c r="AD638" t="s">
        <v>74</v>
      </c>
      <c r="AE638" t="s">
        <v>74</v>
      </c>
      <c r="AF638" t="s">
        <v>74</v>
      </c>
      <c r="AG638">
        <v>95</v>
      </c>
      <c r="AH638">
        <v>58</v>
      </c>
      <c r="AI638">
        <v>63</v>
      </c>
      <c r="AJ638">
        <v>1</v>
      </c>
      <c r="AK638">
        <v>22</v>
      </c>
      <c r="AL638" t="s">
        <v>7145</v>
      </c>
      <c r="AM638" t="s">
        <v>7146</v>
      </c>
      <c r="AN638" t="s">
        <v>7147</v>
      </c>
      <c r="AO638" t="s">
        <v>8451</v>
      </c>
      <c r="AP638" t="s">
        <v>8452</v>
      </c>
      <c r="AQ638" t="s">
        <v>74</v>
      </c>
      <c r="AR638" t="s">
        <v>8453</v>
      </c>
      <c r="AS638" t="s">
        <v>8454</v>
      </c>
      <c r="AT638" t="s">
        <v>9849</v>
      </c>
      <c r="AU638">
        <v>2007</v>
      </c>
      <c r="AV638">
        <v>85</v>
      </c>
      <c r="AW638">
        <v>3</v>
      </c>
      <c r="AX638" t="s">
        <v>74</v>
      </c>
      <c r="AY638" t="s">
        <v>74</v>
      </c>
      <c r="AZ638" t="s">
        <v>74</v>
      </c>
      <c r="BA638" t="s">
        <v>74</v>
      </c>
      <c r="BB638">
        <v>352</v>
      </c>
      <c r="BC638">
        <v>361</v>
      </c>
      <c r="BD638" t="s">
        <v>74</v>
      </c>
      <c r="BE638" t="s">
        <v>10223</v>
      </c>
      <c r="BF638" t="str">
        <f>HYPERLINK("http://dx.doi.org/10.1139/Z07-012","http://dx.doi.org/10.1139/Z07-012")</f>
        <v>http://dx.doi.org/10.1139/Z07-012</v>
      </c>
      <c r="BG638" t="s">
        <v>74</v>
      </c>
      <c r="BH638" t="s">
        <v>74</v>
      </c>
      <c r="BI638">
        <v>10</v>
      </c>
      <c r="BJ638" t="s">
        <v>507</v>
      </c>
      <c r="BK638" t="s">
        <v>98</v>
      </c>
      <c r="BL638" t="s">
        <v>507</v>
      </c>
      <c r="BM638" t="s">
        <v>10224</v>
      </c>
      <c r="BN638" t="s">
        <v>74</v>
      </c>
      <c r="BO638" t="s">
        <v>74</v>
      </c>
      <c r="BP638" t="s">
        <v>74</v>
      </c>
      <c r="BQ638" t="s">
        <v>74</v>
      </c>
      <c r="BR638" t="s">
        <v>101</v>
      </c>
      <c r="BS638" t="s">
        <v>10225</v>
      </c>
      <c r="BT638" t="str">
        <f>HYPERLINK("https%3A%2F%2Fwww.webofscience.com%2Fwos%2Fwoscc%2Ffull-record%2FWOS:000246264000007","View Full Record in Web of Science")</f>
        <v>View Full Record in Web of Science</v>
      </c>
    </row>
    <row r="639" spans="1:72" x14ac:dyDescent="0.15">
      <c r="A639" t="s">
        <v>72</v>
      </c>
      <c r="B639" t="s">
        <v>10226</v>
      </c>
      <c r="C639" t="s">
        <v>74</v>
      </c>
      <c r="D639" t="s">
        <v>74</v>
      </c>
      <c r="E639" t="s">
        <v>74</v>
      </c>
      <c r="F639" t="s">
        <v>10227</v>
      </c>
      <c r="G639" t="s">
        <v>74</v>
      </c>
      <c r="H639" t="s">
        <v>74</v>
      </c>
      <c r="I639" t="s">
        <v>10228</v>
      </c>
      <c r="J639" t="s">
        <v>7159</v>
      </c>
      <c r="K639" t="s">
        <v>74</v>
      </c>
      <c r="L639" t="s">
        <v>74</v>
      </c>
      <c r="M639" t="s">
        <v>78</v>
      </c>
      <c r="N639" t="s">
        <v>79</v>
      </c>
      <c r="O639" t="s">
        <v>74</v>
      </c>
      <c r="P639" t="s">
        <v>74</v>
      </c>
      <c r="Q639" t="s">
        <v>74</v>
      </c>
      <c r="R639" t="s">
        <v>74</v>
      </c>
      <c r="S639" t="s">
        <v>74</v>
      </c>
      <c r="T639" t="s">
        <v>10229</v>
      </c>
      <c r="U639" t="s">
        <v>10230</v>
      </c>
      <c r="V639" t="s">
        <v>10231</v>
      </c>
      <c r="W639" t="s">
        <v>10232</v>
      </c>
      <c r="X639" t="s">
        <v>10233</v>
      </c>
      <c r="Y639" t="s">
        <v>10234</v>
      </c>
      <c r="Z639" t="s">
        <v>10235</v>
      </c>
      <c r="AA639" t="s">
        <v>10236</v>
      </c>
      <c r="AB639" t="s">
        <v>10237</v>
      </c>
      <c r="AC639" t="s">
        <v>74</v>
      </c>
      <c r="AD639" t="s">
        <v>74</v>
      </c>
      <c r="AE639" t="s">
        <v>74</v>
      </c>
      <c r="AF639" t="s">
        <v>74</v>
      </c>
      <c r="AG639">
        <v>33</v>
      </c>
      <c r="AH639">
        <v>11</v>
      </c>
      <c r="AI639">
        <v>13</v>
      </c>
      <c r="AJ639">
        <v>1</v>
      </c>
      <c r="AK639">
        <v>11</v>
      </c>
      <c r="AL639" t="s">
        <v>1503</v>
      </c>
      <c r="AM639" t="s">
        <v>1504</v>
      </c>
      <c r="AN639" t="s">
        <v>1505</v>
      </c>
      <c r="AO639" t="s">
        <v>7169</v>
      </c>
      <c r="AP639" t="s">
        <v>10238</v>
      </c>
      <c r="AQ639" t="s">
        <v>74</v>
      </c>
      <c r="AR639" t="s">
        <v>7159</v>
      </c>
      <c r="AS639" t="s">
        <v>7170</v>
      </c>
      <c r="AT639" t="s">
        <v>9849</v>
      </c>
      <c r="AU639">
        <v>2007</v>
      </c>
      <c r="AV639">
        <v>67</v>
      </c>
      <c r="AW639">
        <v>5</v>
      </c>
      <c r="AX639" t="s">
        <v>74</v>
      </c>
      <c r="AY639" t="s">
        <v>74</v>
      </c>
      <c r="AZ639" t="s">
        <v>74</v>
      </c>
      <c r="BA639" t="s">
        <v>74</v>
      </c>
      <c r="BB639">
        <v>903</v>
      </c>
      <c r="BC639">
        <v>910</v>
      </c>
      <c r="BD639" t="s">
        <v>74</v>
      </c>
      <c r="BE639" t="s">
        <v>10239</v>
      </c>
      <c r="BF639" t="str">
        <f>HYPERLINK("http://dx.doi.org/10.1016/j.chemosphere.2006.11.028","http://dx.doi.org/10.1016/j.chemosphere.2006.11.028")</f>
        <v>http://dx.doi.org/10.1016/j.chemosphere.2006.11.028</v>
      </c>
      <c r="BG639" t="s">
        <v>74</v>
      </c>
      <c r="BH639" t="s">
        <v>74</v>
      </c>
      <c r="BI639">
        <v>8</v>
      </c>
      <c r="BJ639" t="s">
        <v>4372</v>
      </c>
      <c r="BK639" t="s">
        <v>98</v>
      </c>
      <c r="BL639" t="s">
        <v>911</v>
      </c>
      <c r="BM639" t="s">
        <v>10240</v>
      </c>
      <c r="BN639">
        <v>17208278</v>
      </c>
      <c r="BO639" t="s">
        <v>74</v>
      </c>
      <c r="BP639" t="s">
        <v>74</v>
      </c>
      <c r="BQ639" t="s">
        <v>74</v>
      </c>
      <c r="BR639" t="s">
        <v>101</v>
      </c>
      <c r="BS639" t="s">
        <v>10241</v>
      </c>
      <c r="BT639" t="str">
        <f>HYPERLINK("https%3A%2F%2Fwww.webofscience.com%2Fwos%2Fwoscc%2Ffull-record%2FWOS:000245397100008","View Full Record in Web of Science")</f>
        <v>View Full Record in Web of Science</v>
      </c>
    </row>
    <row r="640" spans="1:72" x14ac:dyDescent="0.15">
      <c r="A640" t="s">
        <v>72</v>
      </c>
      <c r="B640" t="s">
        <v>10242</v>
      </c>
      <c r="C640" t="s">
        <v>74</v>
      </c>
      <c r="D640" t="s">
        <v>74</v>
      </c>
      <c r="E640" t="s">
        <v>74</v>
      </c>
      <c r="F640" t="s">
        <v>10243</v>
      </c>
      <c r="G640" t="s">
        <v>74</v>
      </c>
      <c r="H640" t="s">
        <v>74</v>
      </c>
      <c r="I640" t="s">
        <v>10244</v>
      </c>
      <c r="J640" t="s">
        <v>10245</v>
      </c>
      <c r="K640" t="s">
        <v>74</v>
      </c>
      <c r="L640" t="s">
        <v>74</v>
      </c>
      <c r="M640" t="s">
        <v>10246</v>
      </c>
      <c r="N640" t="s">
        <v>79</v>
      </c>
      <c r="O640" t="s">
        <v>74</v>
      </c>
      <c r="P640" t="s">
        <v>74</v>
      </c>
      <c r="Q640" t="s">
        <v>74</v>
      </c>
      <c r="R640" t="s">
        <v>74</v>
      </c>
      <c r="S640" t="s">
        <v>74</v>
      </c>
      <c r="T640" t="s">
        <v>10247</v>
      </c>
      <c r="U640" t="s">
        <v>10248</v>
      </c>
      <c r="V640" t="s">
        <v>10249</v>
      </c>
      <c r="W640" t="s">
        <v>10250</v>
      </c>
      <c r="X640" t="s">
        <v>10251</v>
      </c>
      <c r="Y640" t="s">
        <v>10252</v>
      </c>
      <c r="Z640" t="s">
        <v>2727</v>
      </c>
      <c r="AA640" t="s">
        <v>2728</v>
      </c>
      <c r="AB640" t="s">
        <v>74</v>
      </c>
      <c r="AC640" t="s">
        <v>74</v>
      </c>
      <c r="AD640" t="s">
        <v>74</v>
      </c>
      <c r="AE640" t="s">
        <v>74</v>
      </c>
      <c r="AF640" t="s">
        <v>74</v>
      </c>
      <c r="AG640">
        <v>22</v>
      </c>
      <c r="AH640">
        <v>17</v>
      </c>
      <c r="AI640">
        <v>35</v>
      </c>
      <c r="AJ640">
        <v>1</v>
      </c>
      <c r="AK640">
        <v>15</v>
      </c>
      <c r="AL640" t="s">
        <v>2709</v>
      </c>
      <c r="AM640" t="s">
        <v>2710</v>
      </c>
      <c r="AN640" t="s">
        <v>2711</v>
      </c>
      <c r="AO640" t="s">
        <v>10253</v>
      </c>
      <c r="AP640" t="s">
        <v>74</v>
      </c>
      <c r="AQ640" t="s">
        <v>74</v>
      </c>
      <c r="AR640" t="s">
        <v>10254</v>
      </c>
      <c r="AS640" t="s">
        <v>10255</v>
      </c>
      <c r="AT640" t="s">
        <v>9849</v>
      </c>
      <c r="AU640">
        <v>2007</v>
      </c>
      <c r="AV640">
        <v>50</v>
      </c>
      <c r="AW640">
        <v>2</v>
      </c>
      <c r="AX640" t="s">
        <v>74</v>
      </c>
      <c r="AY640" t="s">
        <v>74</v>
      </c>
      <c r="AZ640" t="s">
        <v>74</v>
      </c>
      <c r="BA640" t="s">
        <v>74</v>
      </c>
      <c r="BB640">
        <v>397</v>
      </c>
      <c r="BC640">
        <v>403</v>
      </c>
      <c r="BD640" t="s">
        <v>74</v>
      </c>
      <c r="BE640" t="s">
        <v>74</v>
      </c>
      <c r="BF640" t="s">
        <v>74</v>
      </c>
      <c r="BG640" t="s">
        <v>74</v>
      </c>
      <c r="BH640" t="s">
        <v>74</v>
      </c>
      <c r="BI640">
        <v>7</v>
      </c>
      <c r="BJ640" t="s">
        <v>688</v>
      </c>
      <c r="BK640" t="s">
        <v>98</v>
      </c>
      <c r="BL640" t="s">
        <v>688</v>
      </c>
      <c r="BM640" t="s">
        <v>10256</v>
      </c>
      <c r="BN640" t="s">
        <v>74</v>
      </c>
      <c r="BO640" t="s">
        <v>74</v>
      </c>
      <c r="BP640" t="s">
        <v>74</v>
      </c>
      <c r="BQ640" t="s">
        <v>74</v>
      </c>
      <c r="BR640" t="s">
        <v>101</v>
      </c>
      <c r="BS640" t="s">
        <v>10257</v>
      </c>
      <c r="BT640" t="str">
        <f>HYPERLINK("https%3A%2F%2Fwww.webofscience.com%2Fwos%2Fwoscc%2Ffull-record%2FWOS:000245399900009","View Full Record in Web of Science")</f>
        <v>View Full Record in Web of Science</v>
      </c>
    </row>
    <row r="641" spans="1:72" x14ac:dyDescent="0.15">
      <c r="A641" t="s">
        <v>72</v>
      </c>
      <c r="B641" t="s">
        <v>10258</v>
      </c>
      <c r="C641" t="s">
        <v>74</v>
      </c>
      <c r="D641" t="s">
        <v>74</v>
      </c>
      <c r="E641" t="s">
        <v>74</v>
      </c>
      <c r="F641" t="s">
        <v>10259</v>
      </c>
      <c r="G641" t="s">
        <v>74</v>
      </c>
      <c r="H641" t="s">
        <v>74</v>
      </c>
      <c r="I641" t="s">
        <v>10260</v>
      </c>
      <c r="J641" t="s">
        <v>3476</v>
      </c>
      <c r="K641" t="s">
        <v>74</v>
      </c>
      <c r="L641" t="s">
        <v>74</v>
      </c>
      <c r="M641" t="s">
        <v>78</v>
      </c>
      <c r="N641" t="s">
        <v>79</v>
      </c>
      <c r="O641" t="s">
        <v>74</v>
      </c>
      <c r="P641" t="s">
        <v>74</v>
      </c>
      <c r="Q641" t="s">
        <v>74</v>
      </c>
      <c r="R641" t="s">
        <v>74</v>
      </c>
      <c r="S641" t="s">
        <v>74</v>
      </c>
      <c r="T641" t="s">
        <v>10261</v>
      </c>
      <c r="U641" t="s">
        <v>10262</v>
      </c>
      <c r="V641" t="s">
        <v>10263</v>
      </c>
      <c r="W641" t="s">
        <v>10264</v>
      </c>
      <c r="X641" t="s">
        <v>10265</v>
      </c>
      <c r="Y641" t="s">
        <v>10266</v>
      </c>
      <c r="Z641" t="s">
        <v>10267</v>
      </c>
      <c r="AA641" t="s">
        <v>74</v>
      </c>
      <c r="AB641" t="s">
        <v>74</v>
      </c>
      <c r="AC641" t="s">
        <v>74</v>
      </c>
      <c r="AD641" t="s">
        <v>74</v>
      </c>
      <c r="AE641" t="s">
        <v>74</v>
      </c>
      <c r="AF641" t="s">
        <v>74</v>
      </c>
      <c r="AG641">
        <v>54</v>
      </c>
      <c r="AH641">
        <v>29</v>
      </c>
      <c r="AI641">
        <v>35</v>
      </c>
      <c r="AJ641">
        <v>0</v>
      </c>
      <c r="AK641">
        <v>15</v>
      </c>
      <c r="AL641" t="s">
        <v>1639</v>
      </c>
      <c r="AM641" t="s">
        <v>1593</v>
      </c>
      <c r="AN641" t="s">
        <v>1640</v>
      </c>
      <c r="AO641" t="s">
        <v>3485</v>
      </c>
      <c r="AP641" t="s">
        <v>3486</v>
      </c>
      <c r="AQ641" t="s">
        <v>74</v>
      </c>
      <c r="AR641" t="s">
        <v>3487</v>
      </c>
      <c r="AS641" t="s">
        <v>3488</v>
      </c>
      <c r="AT641" t="s">
        <v>9849</v>
      </c>
      <c r="AU641">
        <v>2007</v>
      </c>
      <c r="AV641">
        <v>145</v>
      </c>
      <c r="AW641">
        <v>2</v>
      </c>
      <c r="AX641" t="s">
        <v>74</v>
      </c>
      <c r="AY641" t="s">
        <v>74</v>
      </c>
      <c r="AZ641" t="s">
        <v>74</v>
      </c>
      <c r="BA641" t="s">
        <v>74</v>
      </c>
      <c r="BB641">
        <v>227</v>
      </c>
      <c r="BC641">
        <v>235</v>
      </c>
      <c r="BD641" t="s">
        <v>74</v>
      </c>
      <c r="BE641" t="s">
        <v>10268</v>
      </c>
      <c r="BF641" t="str">
        <f>HYPERLINK("http://dx.doi.org/10.1016/j.cbpc.2006.12.005","http://dx.doi.org/10.1016/j.cbpc.2006.12.005")</f>
        <v>http://dx.doi.org/10.1016/j.cbpc.2006.12.005</v>
      </c>
      <c r="BG641" t="s">
        <v>74</v>
      </c>
      <c r="BH641" t="s">
        <v>74</v>
      </c>
      <c r="BI641">
        <v>9</v>
      </c>
      <c r="BJ641" t="s">
        <v>3491</v>
      </c>
      <c r="BK641" t="s">
        <v>98</v>
      </c>
      <c r="BL641" t="s">
        <v>3491</v>
      </c>
      <c r="BM641" t="s">
        <v>10269</v>
      </c>
      <c r="BN641">
        <v>17236815</v>
      </c>
      <c r="BO641" t="s">
        <v>74</v>
      </c>
      <c r="BP641" t="s">
        <v>74</v>
      </c>
      <c r="BQ641" t="s">
        <v>74</v>
      </c>
      <c r="BR641" t="s">
        <v>101</v>
      </c>
      <c r="BS641" t="s">
        <v>10270</v>
      </c>
      <c r="BT641" t="str">
        <f>HYPERLINK("https%3A%2F%2Fwww.webofscience.com%2Fwos%2Fwoscc%2Ffull-record%2FWOS:000245499100008","View Full Record in Web of Science")</f>
        <v>View Full Record in Web of Science</v>
      </c>
    </row>
    <row r="642" spans="1:72" x14ac:dyDescent="0.15">
      <c r="A642" t="s">
        <v>72</v>
      </c>
      <c r="B642" t="s">
        <v>10271</v>
      </c>
      <c r="C642" t="s">
        <v>74</v>
      </c>
      <c r="D642" t="s">
        <v>74</v>
      </c>
      <c r="E642" t="s">
        <v>74</v>
      </c>
      <c r="F642" t="s">
        <v>10272</v>
      </c>
      <c r="G642" t="s">
        <v>74</v>
      </c>
      <c r="H642" t="s">
        <v>74</v>
      </c>
      <c r="I642" t="s">
        <v>10273</v>
      </c>
      <c r="J642" t="s">
        <v>1651</v>
      </c>
      <c r="K642" t="s">
        <v>74</v>
      </c>
      <c r="L642" t="s">
        <v>74</v>
      </c>
      <c r="M642" t="s">
        <v>78</v>
      </c>
      <c r="N642" t="s">
        <v>79</v>
      </c>
      <c r="O642" t="s">
        <v>74</v>
      </c>
      <c r="P642" t="s">
        <v>74</v>
      </c>
      <c r="Q642" t="s">
        <v>74</v>
      </c>
      <c r="R642" t="s">
        <v>74</v>
      </c>
      <c r="S642" t="s">
        <v>74</v>
      </c>
      <c r="T642" t="s">
        <v>74</v>
      </c>
      <c r="U642" t="s">
        <v>10274</v>
      </c>
      <c r="V642" t="s">
        <v>10275</v>
      </c>
      <c r="W642" t="s">
        <v>10276</v>
      </c>
      <c r="X642" t="s">
        <v>10277</v>
      </c>
      <c r="Y642" t="s">
        <v>10278</v>
      </c>
      <c r="Z642" t="s">
        <v>10279</v>
      </c>
      <c r="AA642" t="s">
        <v>10280</v>
      </c>
      <c r="AB642" t="s">
        <v>74</v>
      </c>
      <c r="AC642" t="s">
        <v>74</v>
      </c>
      <c r="AD642" t="s">
        <v>74</v>
      </c>
      <c r="AE642" t="s">
        <v>74</v>
      </c>
      <c r="AF642" t="s">
        <v>74</v>
      </c>
      <c r="AG642">
        <v>29</v>
      </c>
      <c r="AH642">
        <v>4</v>
      </c>
      <c r="AI642">
        <v>4</v>
      </c>
      <c r="AJ642">
        <v>0</v>
      </c>
      <c r="AK642">
        <v>3</v>
      </c>
      <c r="AL642" t="s">
        <v>1503</v>
      </c>
      <c r="AM642" t="s">
        <v>1504</v>
      </c>
      <c r="AN642" t="s">
        <v>1505</v>
      </c>
      <c r="AO642" t="s">
        <v>1661</v>
      </c>
      <c r="AP642" t="s">
        <v>1662</v>
      </c>
      <c r="AQ642" t="s">
        <v>74</v>
      </c>
      <c r="AR642" t="s">
        <v>1663</v>
      </c>
      <c r="AS642" t="s">
        <v>1664</v>
      </c>
      <c r="AT642" t="s">
        <v>9849</v>
      </c>
      <c r="AU642">
        <v>2007</v>
      </c>
      <c r="AV642">
        <v>54</v>
      </c>
      <c r="AW642">
        <v>3</v>
      </c>
      <c r="AX642" t="s">
        <v>74</v>
      </c>
      <c r="AY642" t="s">
        <v>74</v>
      </c>
      <c r="AZ642" t="s">
        <v>74</v>
      </c>
      <c r="BA642" t="s">
        <v>74</v>
      </c>
      <c r="BB642">
        <v>320</v>
      </c>
      <c r="BC642">
        <v>339</v>
      </c>
      <c r="BD642" t="s">
        <v>74</v>
      </c>
      <c r="BE642" t="s">
        <v>10281</v>
      </c>
      <c r="BF642" t="str">
        <f>HYPERLINK("http://dx.doi.org/10.1016/j.dsr.2006.12.002","http://dx.doi.org/10.1016/j.dsr.2006.12.002")</f>
        <v>http://dx.doi.org/10.1016/j.dsr.2006.12.002</v>
      </c>
      <c r="BG642" t="s">
        <v>74</v>
      </c>
      <c r="BH642" t="s">
        <v>74</v>
      </c>
      <c r="BI642">
        <v>20</v>
      </c>
      <c r="BJ642" t="s">
        <v>221</v>
      </c>
      <c r="BK642" t="s">
        <v>98</v>
      </c>
      <c r="BL642" t="s">
        <v>221</v>
      </c>
      <c r="BM642" t="s">
        <v>10282</v>
      </c>
      <c r="BN642" t="s">
        <v>74</v>
      </c>
      <c r="BO642" t="s">
        <v>1249</v>
      </c>
      <c r="BP642" t="s">
        <v>74</v>
      </c>
      <c r="BQ642" t="s">
        <v>74</v>
      </c>
      <c r="BR642" t="s">
        <v>101</v>
      </c>
      <c r="BS642" t="s">
        <v>10283</v>
      </c>
      <c r="BT642" t="str">
        <f>HYPERLINK("https%3A%2F%2Fwww.webofscience.com%2Fwos%2Fwoscc%2Ffull-record%2FWOS:000245782200002","View Full Record in Web of Science")</f>
        <v>View Full Record in Web of Science</v>
      </c>
    </row>
    <row r="643" spans="1:72" x14ac:dyDescent="0.15">
      <c r="A643" t="s">
        <v>72</v>
      </c>
      <c r="B643" t="s">
        <v>10284</v>
      </c>
      <c r="C643" t="s">
        <v>74</v>
      </c>
      <c r="D643" t="s">
        <v>74</v>
      </c>
      <c r="E643" t="s">
        <v>74</v>
      </c>
      <c r="F643" t="s">
        <v>10285</v>
      </c>
      <c r="G643" t="s">
        <v>74</v>
      </c>
      <c r="H643" t="s">
        <v>74</v>
      </c>
      <c r="I643" t="s">
        <v>10286</v>
      </c>
      <c r="J643" t="s">
        <v>1651</v>
      </c>
      <c r="K643" t="s">
        <v>74</v>
      </c>
      <c r="L643" t="s">
        <v>74</v>
      </c>
      <c r="M643" t="s">
        <v>78</v>
      </c>
      <c r="N643" t="s">
        <v>79</v>
      </c>
      <c r="O643" t="s">
        <v>74</v>
      </c>
      <c r="P643" t="s">
        <v>74</v>
      </c>
      <c r="Q643" t="s">
        <v>74</v>
      </c>
      <c r="R643" t="s">
        <v>74</v>
      </c>
      <c r="S643" t="s">
        <v>74</v>
      </c>
      <c r="T643" t="s">
        <v>10287</v>
      </c>
      <c r="U643" t="s">
        <v>10288</v>
      </c>
      <c r="V643" t="s">
        <v>10289</v>
      </c>
      <c r="W643" t="s">
        <v>9155</v>
      </c>
      <c r="X643" t="s">
        <v>3744</v>
      </c>
      <c r="Y643" t="s">
        <v>10290</v>
      </c>
      <c r="Z643" t="s">
        <v>10291</v>
      </c>
      <c r="AA643" t="s">
        <v>74</v>
      </c>
      <c r="AB643" t="s">
        <v>10292</v>
      </c>
      <c r="AC643" t="s">
        <v>74</v>
      </c>
      <c r="AD643" t="s">
        <v>74</v>
      </c>
      <c r="AE643" t="s">
        <v>74</v>
      </c>
      <c r="AF643" t="s">
        <v>74</v>
      </c>
      <c r="AG643">
        <v>76</v>
      </c>
      <c r="AH643">
        <v>72</v>
      </c>
      <c r="AI643">
        <v>80</v>
      </c>
      <c r="AJ643">
        <v>1</v>
      </c>
      <c r="AK643">
        <v>40</v>
      </c>
      <c r="AL643" t="s">
        <v>1503</v>
      </c>
      <c r="AM643" t="s">
        <v>1504</v>
      </c>
      <c r="AN643" t="s">
        <v>1505</v>
      </c>
      <c r="AO643" t="s">
        <v>1661</v>
      </c>
      <c r="AP643" t="s">
        <v>1662</v>
      </c>
      <c r="AQ643" t="s">
        <v>74</v>
      </c>
      <c r="AR643" t="s">
        <v>1663</v>
      </c>
      <c r="AS643" t="s">
        <v>1664</v>
      </c>
      <c r="AT643" t="s">
        <v>9849</v>
      </c>
      <c r="AU643">
        <v>2007</v>
      </c>
      <c r="AV643">
        <v>54</v>
      </c>
      <c r="AW643">
        <v>3</v>
      </c>
      <c r="AX643" t="s">
        <v>74</v>
      </c>
      <c r="AY643" t="s">
        <v>74</v>
      </c>
      <c r="AZ643" t="s">
        <v>74</v>
      </c>
      <c r="BA643" t="s">
        <v>74</v>
      </c>
      <c r="BB643">
        <v>340</v>
      </c>
      <c r="BC643">
        <v>362</v>
      </c>
      <c r="BD643" t="s">
        <v>74</v>
      </c>
      <c r="BE643" t="s">
        <v>10293</v>
      </c>
      <c r="BF643" t="str">
        <f>HYPERLINK("http://dx.doi.org/10.1016/j.dsr.2006.12.005","http://dx.doi.org/10.1016/j.dsr.2006.12.005")</f>
        <v>http://dx.doi.org/10.1016/j.dsr.2006.12.005</v>
      </c>
      <c r="BG643" t="s">
        <v>74</v>
      </c>
      <c r="BH643" t="s">
        <v>74</v>
      </c>
      <c r="BI643">
        <v>23</v>
      </c>
      <c r="BJ643" t="s">
        <v>221</v>
      </c>
      <c r="BK643" t="s">
        <v>98</v>
      </c>
      <c r="BL643" t="s">
        <v>221</v>
      </c>
      <c r="BM643" t="s">
        <v>10282</v>
      </c>
      <c r="BN643" t="s">
        <v>74</v>
      </c>
      <c r="BO643" t="s">
        <v>74</v>
      </c>
      <c r="BP643" t="s">
        <v>74</v>
      </c>
      <c r="BQ643" t="s">
        <v>74</v>
      </c>
      <c r="BR643" t="s">
        <v>101</v>
      </c>
      <c r="BS643" t="s">
        <v>10294</v>
      </c>
      <c r="BT643" t="str">
        <f>HYPERLINK("https%3A%2F%2Fwww.webofscience.com%2Fwos%2Fwoscc%2Ffull-record%2FWOS:000245782200003","View Full Record in Web of Science")</f>
        <v>View Full Record in Web of Science</v>
      </c>
    </row>
    <row r="644" spans="1:72" x14ac:dyDescent="0.15">
      <c r="A644" t="s">
        <v>72</v>
      </c>
      <c r="B644" t="s">
        <v>10295</v>
      </c>
      <c r="C644" t="s">
        <v>74</v>
      </c>
      <c r="D644" t="s">
        <v>74</v>
      </c>
      <c r="E644" t="s">
        <v>74</v>
      </c>
      <c r="F644" t="s">
        <v>10296</v>
      </c>
      <c r="G644" t="s">
        <v>74</v>
      </c>
      <c r="H644" t="s">
        <v>74</v>
      </c>
      <c r="I644" t="s">
        <v>10297</v>
      </c>
      <c r="J644" t="s">
        <v>1651</v>
      </c>
      <c r="K644" t="s">
        <v>74</v>
      </c>
      <c r="L644" t="s">
        <v>74</v>
      </c>
      <c r="M644" t="s">
        <v>78</v>
      </c>
      <c r="N644" t="s">
        <v>79</v>
      </c>
      <c r="O644" t="s">
        <v>74</v>
      </c>
      <c r="P644" t="s">
        <v>74</v>
      </c>
      <c r="Q644" t="s">
        <v>74</v>
      </c>
      <c r="R644" t="s">
        <v>74</v>
      </c>
      <c r="S644" t="s">
        <v>74</v>
      </c>
      <c r="T644" t="s">
        <v>10298</v>
      </c>
      <c r="U644" t="s">
        <v>10299</v>
      </c>
      <c r="V644" t="s">
        <v>10300</v>
      </c>
      <c r="W644" t="s">
        <v>10301</v>
      </c>
      <c r="X644" t="s">
        <v>10302</v>
      </c>
      <c r="Y644" t="s">
        <v>10303</v>
      </c>
      <c r="Z644" t="s">
        <v>10304</v>
      </c>
      <c r="AA644" t="s">
        <v>74</v>
      </c>
      <c r="AB644" t="s">
        <v>10292</v>
      </c>
      <c r="AC644" t="s">
        <v>74</v>
      </c>
      <c r="AD644" t="s">
        <v>74</v>
      </c>
      <c r="AE644" t="s">
        <v>74</v>
      </c>
      <c r="AF644" t="s">
        <v>74</v>
      </c>
      <c r="AG644">
        <v>87</v>
      </c>
      <c r="AH644">
        <v>36</v>
      </c>
      <c r="AI644">
        <v>38</v>
      </c>
      <c r="AJ644">
        <v>0</v>
      </c>
      <c r="AK644">
        <v>17</v>
      </c>
      <c r="AL644" t="s">
        <v>1503</v>
      </c>
      <c r="AM644" t="s">
        <v>1504</v>
      </c>
      <c r="AN644" t="s">
        <v>1505</v>
      </c>
      <c r="AO644" t="s">
        <v>1661</v>
      </c>
      <c r="AP644" t="s">
        <v>74</v>
      </c>
      <c r="AQ644" t="s">
        <v>74</v>
      </c>
      <c r="AR644" t="s">
        <v>1663</v>
      </c>
      <c r="AS644" t="s">
        <v>1664</v>
      </c>
      <c r="AT644" t="s">
        <v>9849</v>
      </c>
      <c r="AU644">
        <v>2007</v>
      </c>
      <c r="AV644">
        <v>54</v>
      </c>
      <c r="AW644">
        <v>3</v>
      </c>
      <c r="AX644" t="s">
        <v>74</v>
      </c>
      <c r="AY644" t="s">
        <v>74</v>
      </c>
      <c r="AZ644" t="s">
        <v>74</v>
      </c>
      <c r="BA644" t="s">
        <v>74</v>
      </c>
      <c r="BB644">
        <v>363</v>
      </c>
      <c r="BC644">
        <v>384</v>
      </c>
      <c r="BD644" t="s">
        <v>74</v>
      </c>
      <c r="BE644" t="s">
        <v>10305</v>
      </c>
      <c r="BF644" t="str">
        <f>HYPERLINK("http://dx.doi.org/10.1016/j.dsr.2006.12.004","http://dx.doi.org/10.1016/j.dsr.2006.12.004")</f>
        <v>http://dx.doi.org/10.1016/j.dsr.2006.12.004</v>
      </c>
      <c r="BG644" t="s">
        <v>74</v>
      </c>
      <c r="BH644" t="s">
        <v>74</v>
      </c>
      <c r="BI644">
        <v>22</v>
      </c>
      <c r="BJ644" t="s">
        <v>221</v>
      </c>
      <c r="BK644" t="s">
        <v>98</v>
      </c>
      <c r="BL644" t="s">
        <v>221</v>
      </c>
      <c r="BM644" t="s">
        <v>10282</v>
      </c>
      <c r="BN644" t="s">
        <v>74</v>
      </c>
      <c r="BO644" t="s">
        <v>74</v>
      </c>
      <c r="BP644" t="s">
        <v>74</v>
      </c>
      <c r="BQ644" t="s">
        <v>74</v>
      </c>
      <c r="BR644" t="s">
        <v>101</v>
      </c>
      <c r="BS644" t="s">
        <v>10306</v>
      </c>
      <c r="BT644" t="str">
        <f>HYPERLINK("https%3A%2F%2Fwww.webofscience.com%2Fwos%2Fwoscc%2Ffull-record%2FWOS:000245782200004","View Full Record in Web of Science")</f>
        <v>View Full Record in Web of Science</v>
      </c>
    </row>
    <row r="645" spans="1:72" x14ac:dyDescent="0.15">
      <c r="A645" t="s">
        <v>72</v>
      </c>
      <c r="B645" t="s">
        <v>10307</v>
      </c>
      <c r="C645" t="s">
        <v>74</v>
      </c>
      <c r="D645" t="s">
        <v>74</v>
      </c>
      <c r="E645" t="s">
        <v>74</v>
      </c>
      <c r="F645" t="s">
        <v>10308</v>
      </c>
      <c r="G645" t="s">
        <v>74</v>
      </c>
      <c r="H645" t="s">
        <v>74</v>
      </c>
      <c r="I645" t="s">
        <v>10309</v>
      </c>
      <c r="J645" t="s">
        <v>10310</v>
      </c>
      <c r="K645" t="s">
        <v>74</v>
      </c>
      <c r="L645" t="s">
        <v>74</v>
      </c>
      <c r="M645" t="s">
        <v>78</v>
      </c>
      <c r="N645" t="s">
        <v>248</v>
      </c>
      <c r="O645" t="s">
        <v>74</v>
      </c>
      <c r="P645" t="s">
        <v>74</v>
      </c>
      <c r="Q645" t="s">
        <v>74</v>
      </c>
      <c r="R645" t="s">
        <v>74</v>
      </c>
      <c r="S645" t="s">
        <v>74</v>
      </c>
      <c r="T645" t="s">
        <v>10311</v>
      </c>
      <c r="U645" t="s">
        <v>10312</v>
      </c>
      <c r="V645" t="s">
        <v>10313</v>
      </c>
      <c r="W645" t="s">
        <v>10314</v>
      </c>
      <c r="X645" t="s">
        <v>9339</v>
      </c>
      <c r="Y645" t="s">
        <v>10315</v>
      </c>
      <c r="Z645" t="s">
        <v>2496</v>
      </c>
      <c r="AA645" t="s">
        <v>10316</v>
      </c>
      <c r="AB645" t="s">
        <v>10317</v>
      </c>
      <c r="AC645" t="s">
        <v>74</v>
      </c>
      <c r="AD645" t="s">
        <v>74</v>
      </c>
      <c r="AE645" t="s">
        <v>74</v>
      </c>
      <c r="AF645" t="s">
        <v>74</v>
      </c>
      <c r="AG645">
        <v>101</v>
      </c>
      <c r="AH645">
        <v>42</v>
      </c>
      <c r="AI645">
        <v>42</v>
      </c>
      <c r="AJ645">
        <v>1</v>
      </c>
      <c r="AK645">
        <v>22</v>
      </c>
      <c r="AL645" t="s">
        <v>1202</v>
      </c>
      <c r="AM645" t="s">
        <v>1203</v>
      </c>
      <c r="AN645" t="s">
        <v>1204</v>
      </c>
      <c r="AO645" t="s">
        <v>10318</v>
      </c>
      <c r="AP645" t="s">
        <v>10319</v>
      </c>
      <c r="AQ645" t="s">
        <v>74</v>
      </c>
      <c r="AR645" t="s">
        <v>10320</v>
      </c>
      <c r="AS645" t="s">
        <v>10321</v>
      </c>
      <c r="AT645" t="s">
        <v>9849</v>
      </c>
      <c r="AU645">
        <v>2007</v>
      </c>
      <c r="AV645">
        <v>13</v>
      </c>
      <c r="AW645">
        <v>2</v>
      </c>
      <c r="AX645" t="s">
        <v>74</v>
      </c>
      <c r="AY645" t="s">
        <v>74</v>
      </c>
      <c r="AZ645" t="s">
        <v>74</v>
      </c>
      <c r="BA645" t="s">
        <v>74</v>
      </c>
      <c r="BB645">
        <v>143</v>
      </c>
      <c r="BC645">
        <v>154</v>
      </c>
      <c r="BD645" t="s">
        <v>74</v>
      </c>
      <c r="BE645" t="s">
        <v>10322</v>
      </c>
      <c r="BF645" t="str">
        <f>HYPERLINK("http://dx.doi.org/10.1111/j.1472-4642.2007.00319.x","http://dx.doi.org/10.1111/j.1472-4642.2007.00319.x")</f>
        <v>http://dx.doi.org/10.1111/j.1472-4642.2007.00319.x</v>
      </c>
      <c r="BG645" t="s">
        <v>74</v>
      </c>
      <c r="BH645" t="s">
        <v>74</v>
      </c>
      <c r="BI645">
        <v>12</v>
      </c>
      <c r="BJ645" t="s">
        <v>97</v>
      </c>
      <c r="BK645" t="s">
        <v>98</v>
      </c>
      <c r="BL645" t="s">
        <v>99</v>
      </c>
      <c r="BM645" t="s">
        <v>10323</v>
      </c>
      <c r="BN645" t="s">
        <v>74</v>
      </c>
      <c r="BO645" t="s">
        <v>577</v>
      </c>
      <c r="BP645" t="s">
        <v>74</v>
      </c>
      <c r="BQ645" t="s">
        <v>74</v>
      </c>
      <c r="BR645" t="s">
        <v>101</v>
      </c>
      <c r="BS645" t="s">
        <v>10324</v>
      </c>
      <c r="BT645" t="str">
        <f>HYPERLINK("https%3A%2F%2Fwww.webofscience.com%2Fwos%2Fwoscc%2Ffull-record%2FWOS:000244608800001","View Full Record in Web of Science")</f>
        <v>View Full Record in Web of Science</v>
      </c>
    </row>
    <row r="646" spans="1:72" x14ac:dyDescent="0.15">
      <c r="A646" t="s">
        <v>72</v>
      </c>
      <c r="B646" t="s">
        <v>10325</v>
      </c>
      <c r="C646" t="s">
        <v>74</v>
      </c>
      <c r="D646" t="s">
        <v>74</v>
      </c>
      <c r="E646" t="s">
        <v>74</v>
      </c>
      <c r="F646" t="s">
        <v>10326</v>
      </c>
      <c r="G646" t="s">
        <v>74</v>
      </c>
      <c r="H646" t="s">
        <v>74</v>
      </c>
      <c r="I646" t="s">
        <v>10327</v>
      </c>
      <c r="J646" t="s">
        <v>1671</v>
      </c>
      <c r="K646" t="s">
        <v>74</v>
      </c>
      <c r="L646" t="s">
        <v>74</v>
      </c>
      <c r="M646" t="s">
        <v>78</v>
      </c>
      <c r="N646" t="s">
        <v>79</v>
      </c>
      <c r="O646" t="s">
        <v>74</v>
      </c>
      <c r="P646" t="s">
        <v>74</v>
      </c>
      <c r="Q646" t="s">
        <v>74</v>
      </c>
      <c r="R646" t="s">
        <v>74</v>
      </c>
      <c r="S646" t="s">
        <v>74</v>
      </c>
      <c r="T646" t="s">
        <v>74</v>
      </c>
      <c r="U646" t="s">
        <v>10328</v>
      </c>
      <c r="V646" t="s">
        <v>74</v>
      </c>
      <c r="W646" t="s">
        <v>10329</v>
      </c>
      <c r="X646" t="s">
        <v>10330</v>
      </c>
      <c r="Y646" t="s">
        <v>10331</v>
      </c>
      <c r="Z646" t="s">
        <v>10332</v>
      </c>
      <c r="AA646" t="s">
        <v>10333</v>
      </c>
      <c r="AB646" t="s">
        <v>10334</v>
      </c>
      <c r="AC646" t="s">
        <v>74</v>
      </c>
      <c r="AD646" t="s">
        <v>74</v>
      </c>
      <c r="AE646" t="s">
        <v>74</v>
      </c>
      <c r="AF646" t="s">
        <v>74</v>
      </c>
      <c r="AG646">
        <v>14</v>
      </c>
      <c r="AH646">
        <v>0</v>
      </c>
      <c r="AI646">
        <v>0</v>
      </c>
      <c r="AJ646">
        <v>0</v>
      </c>
      <c r="AK646">
        <v>3</v>
      </c>
      <c r="AL646" t="s">
        <v>1677</v>
      </c>
      <c r="AM646" t="s">
        <v>1593</v>
      </c>
      <c r="AN646" t="s">
        <v>1678</v>
      </c>
      <c r="AO646" t="s">
        <v>1679</v>
      </c>
      <c r="AP646" t="s">
        <v>1680</v>
      </c>
      <c r="AQ646" t="s">
        <v>74</v>
      </c>
      <c r="AR646" t="s">
        <v>1681</v>
      </c>
      <c r="AS646" t="s">
        <v>1682</v>
      </c>
      <c r="AT646" t="s">
        <v>9849</v>
      </c>
      <c r="AU646">
        <v>2007</v>
      </c>
      <c r="AV646">
        <v>413</v>
      </c>
      <c r="AW646">
        <v>2</v>
      </c>
      <c r="AX646" t="s">
        <v>74</v>
      </c>
      <c r="AY646" t="s">
        <v>74</v>
      </c>
      <c r="AZ646" t="s">
        <v>74</v>
      </c>
      <c r="BA646" t="s">
        <v>74</v>
      </c>
      <c r="BB646">
        <v>256</v>
      </c>
      <c r="BC646">
        <v>258</v>
      </c>
      <c r="BD646" t="s">
        <v>74</v>
      </c>
      <c r="BE646" t="s">
        <v>10335</v>
      </c>
      <c r="BF646" t="str">
        <f>HYPERLINK("http://dx.doi.org/10.1134/S1028334X07020274","http://dx.doi.org/10.1134/S1028334X07020274")</f>
        <v>http://dx.doi.org/10.1134/S1028334X07020274</v>
      </c>
      <c r="BG646" t="s">
        <v>74</v>
      </c>
      <c r="BH646" t="s">
        <v>74</v>
      </c>
      <c r="BI646">
        <v>3</v>
      </c>
      <c r="BJ646" t="s">
        <v>151</v>
      </c>
      <c r="BK646" t="s">
        <v>98</v>
      </c>
      <c r="BL646" t="s">
        <v>152</v>
      </c>
      <c r="BM646" t="s">
        <v>10336</v>
      </c>
      <c r="BN646" t="s">
        <v>74</v>
      </c>
      <c r="BO646" t="s">
        <v>74</v>
      </c>
      <c r="BP646" t="s">
        <v>74</v>
      </c>
      <c r="BQ646" t="s">
        <v>74</v>
      </c>
      <c r="BR646" t="s">
        <v>101</v>
      </c>
      <c r="BS646" t="s">
        <v>10337</v>
      </c>
      <c r="BT646" t="str">
        <f>HYPERLINK("https%3A%2F%2Fwww.webofscience.com%2Fwos%2Fwoscc%2Ffull-record%2FWOS:000245522800027","View Full Record in Web of Science")</f>
        <v>View Full Record in Web of Science</v>
      </c>
    </row>
    <row r="647" spans="1:72" x14ac:dyDescent="0.15">
      <c r="A647" t="s">
        <v>72</v>
      </c>
      <c r="B647" t="s">
        <v>10338</v>
      </c>
      <c r="C647" t="s">
        <v>74</v>
      </c>
      <c r="D647" t="s">
        <v>74</v>
      </c>
      <c r="E647" t="s">
        <v>74</v>
      </c>
      <c r="F647" t="s">
        <v>10339</v>
      </c>
      <c r="G647" t="s">
        <v>74</v>
      </c>
      <c r="H647" t="s">
        <v>74</v>
      </c>
      <c r="I647" t="s">
        <v>10340</v>
      </c>
      <c r="J647" t="s">
        <v>1671</v>
      </c>
      <c r="K647" t="s">
        <v>74</v>
      </c>
      <c r="L647" t="s">
        <v>74</v>
      </c>
      <c r="M647" t="s">
        <v>78</v>
      </c>
      <c r="N647" t="s">
        <v>79</v>
      </c>
      <c r="O647" t="s">
        <v>74</v>
      </c>
      <c r="P647" t="s">
        <v>74</v>
      </c>
      <c r="Q647" t="s">
        <v>74</v>
      </c>
      <c r="R647" t="s">
        <v>74</v>
      </c>
      <c r="S647" t="s">
        <v>74</v>
      </c>
      <c r="T647" t="s">
        <v>74</v>
      </c>
      <c r="U647" t="s">
        <v>74</v>
      </c>
      <c r="V647" t="s">
        <v>74</v>
      </c>
      <c r="W647" t="s">
        <v>3253</v>
      </c>
      <c r="X647" t="s">
        <v>2367</v>
      </c>
      <c r="Y647" t="s">
        <v>10341</v>
      </c>
      <c r="Z647" t="s">
        <v>10342</v>
      </c>
      <c r="AA647" t="s">
        <v>10343</v>
      </c>
      <c r="AB647" t="s">
        <v>10344</v>
      </c>
      <c r="AC647" t="s">
        <v>74</v>
      </c>
      <c r="AD647" t="s">
        <v>74</v>
      </c>
      <c r="AE647" t="s">
        <v>74</v>
      </c>
      <c r="AF647" t="s">
        <v>74</v>
      </c>
      <c r="AG647">
        <v>13</v>
      </c>
      <c r="AH647">
        <v>2</v>
      </c>
      <c r="AI647">
        <v>4</v>
      </c>
      <c r="AJ647">
        <v>0</v>
      </c>
      <c r="AK647">
        <v>2</v>
      </c>
      <c r="AL647" t="s">
        <v>1677</v>
      </c>
      <c r="AM647" t="s">
        <v>1593</v>
      </c>
      <c r="AN647" t="s">
        <v>1678</v>
      </c>
      <c r="AO647" t="s">
        <v>1679</v>
      </c>
      <c r="AP647" t="s">
        <v>1680</v>
      </c>
      <c r="AQ647" t="s">
        <v>74</v>
      </c>
      <c r="AR647" t="s">
        <v>1681</v>
      </c>
      <c r="AS647" t="s">
        <v>1682</v>
      </c>
      <c r="AT647" t="s">
        <v>9849</v>
      </c>
      <c r="AU647">
        <v>2007</v>
      </c>
      <c r="AV647">
        <v>413</v>
      </c>
      <c r="AW647">
        <v>2</v>
      </c>
      <c r="AX647" t="s">
        <v>74</v>
      </c>
      <c r="AY647" t="s">
        <v>74</v>
      </c>
      <c r="AZ647" t="s">
        <v>74</v>
      </c>
      <c r="BA647" t="s">
        <v>74</v>
      </c>
      <c r="BB647">
        <v>277</v>
      </c>
      <c r="BC647">
        <v>280</v>
      </c>
      <c r="BD647" t="s">
        <v>74</v>
      </c>
      <c r="BE647" t="s">
        <v>10345</v>
      </c>
      <c r="BF647" t="str">
        <f>HYPERLINK("http://dx.doi.org/10.1134/S1028334X0702033X","http://dx.doi.org/10.1134/S1028334X0702033X")</f>
        <v>http://dx.doi.org/10.1134/S1028334X0702033X</v>
      </c>
      <c r="BG647" t="s">
        <v>74</v>
      </c>
      <c r="BH647" t="s">
        <v>74</v>
      </c>
      <c r="BI647">
        <v>4</v>
      </c>
      <c r="BJ647" t="s">
        <v>151</v>
      </c>
      <c r="BK647" t="s">
        <v>98</v>
      </c>
      <c r="BL647" t="s">
        <v>152</v>
      </c>
      <c r="BM647" t="s">
        <v>10336</v>
      </c>
      <c r="BN647" t="s">
        <v>74</v>
      </c>
      <c r="BO647" t="s">
        <v>74</v>
      </c>
      <c r="BP647" t="s">
        <v>74</v>
      </c>
      <c r="BQ647" t="s">
        <v>74</v>
      </c>
      <c r="BR647" t="s">
        <v>101</v>
      </c>
      <c r="BS647" t="s">
        <v>10346</v>
      </c>
      <c r="BT647" t="str">
        <f>HYPERLINK("https%3A%2F%2Fwww.webofscience.com%2Fwos%2Fwoscc%2Ffull-record%2FWOS:000245522800033","View Full Record in Web of Science")</f>
        <v>View Full Record in Web of Science</v>
      </c>
    </row>
    <row r="648" spans="1:72" x14ac:dyDescent="0.15">
      <c r="A648" t="s">
        <v>72</v>
      </c>
      <c r="B648" t="s">
        <v>10347</v>
      </c>
      <c r="C648" t="s">
        <v>74</v>
      </c>
      <c r="D648" t="s">
        <v>74</v>
      </c>
      <c r="E648" t="s">
        <v>74</v>
      </c>
      <c r="F648" t="s">
        <v>10348</v>
      </c>
      <c r="G648" t="s">
        <v>74</v>
      </c>
      <c r="H648" t="s">
        <v>74</v>
      </c>
      <c r="I648" t="s">
        <v>10349</v>
      </c>
      <c r="J648" t="s">
        <v>10350</v>
      </c>
      <c r="K648" t="s">
        <v>74</v>
      </c>
      <c r="L648" t="s">
        <v>74</v>
      </c>
      <c r="M648" t="s">
        <v>78</v>
      </c>
      <c r="N648" t="s">
        <v>79</v>
      </c>
      <c r="O648" t="s">
        <v>74</v>
      </c>
      <c r="P648" t="s">
        <v>74</v>
      </c>
      <c r="Q648" t="s">
        <v>74</v>
      </c>
      <c r="R648" t="s">
        <v>74</v>
      </c>
      <c r="S648" t="s">
        <v>74</v>
      </c>
      <c r="T648" t="s">
        <v>10351</v>
      </c>
      <c r="U648" t="s">
        <v>10352</v>
      </c>
      <c r="V648" t="s">
        <v>10353</v>
      </c>
      <c r="W648" t="s">
        <v>10354</v>
      </c>
      <c r="X648" t="s">
        <v>10355</v>
      </c>
      <c r="Y648" t="s">
        <v>10356</v>
      </c>
      <c r="Z648" t="s">
        <v>74</v>
      </c>
      <c r="AA648" t="s">
        <v>74</v>
      </c>
      <c r="AB648" t="s">
        <v>10357</v>
      </c>
      <c r="AC648" t="s">
        <v>74</v>
      </c>
      <c r="AD648" t="s">
        <v>74</v>
      </c>
      <c r="AE648" t="s">
        <v>74</v>
      </c>
      <c r="AF648" t="s">
        <v>74</v>
      </c>
      <c r="AG648">
        <v>27</v>
      </c>
      <c r="AH648">
        <v>6</v>
      </c>
      <c r="AI648">
        <v>7</v>
      </c>
      <c r="AJ648">
        <v>0</v>
      </c>
      <c r="AK648">
        <v>5</v>
      </c>
      <c r="AL648" t="s">
        <v>6851</v>
      </c>
      <c r="AM648" t="s">
        <v>6852</v>
      </c>
      <c r="AN648" t="s">
        <v>6853</v>
      </c>
      <c r="AO648" t="s">
        <v>10358</v>
      </c>
      <c r="AP648" t="s">
        <v>10359</v>
      </c>
      <c r="AQ648" t="s">
        <v>74</v>
      </c>
      <c r="AR648" t="s">
        <v>10360</v>
      </c>
      <c r="AS648" t="s">
        <v>10361</v>
      </c>
      <c r="AT648" t="s">
        <v>9849</v>
      </c>
      <c r="AU648">
        <v>2007</v>
      </c>
      <c r="AV648">
        <v>39</v>
      </c>
      <c r="AW648">
        <v>2</v>
      </c>
      <c r="AX648" t="s">
        <v>74</v>
      </c>
      <c r="AY648" t="s">
        <v>74</v>
      </c>
      <c r="AZ648" t="s">
        <v>74</v>
      </c>
      <c r="BA648" t="s">
        <v>74</v>
      </c>
      <c r="BB648">
        <v>147</v>
      </c>
      <c r="BC648">
        <v>164</v>
      </c>
      <c r="BD648" t="s">
        <v>74</v>
      </c>
      <c r="BE648" t="s">
        <v>10362</v>
      </c>
      <c r="BF648" t="str">
        <f>HYPERLINK("http://dx.doi.org/10.1177/0013916505285934","http://dx.doi.org/10.1177/0013916505285934")</f>
        <v>http://dx.doi.org/10.1177/0013916505285934</v>
      </c>
      <c r="BG648" t="s">
        <v>74</v>
      </c>
      <c r="BH648" t="s">
        <v>74</v>
      </c>
      <c r="BI648">
        <v>18</v>
      </c>
      <c r="BJ648" t="s">
        <v>10363</v>
      </c>
      <c r="BK648" t="s">
        <v>2746</v>
      </c>
      <c r="BL648" t="s">
        <v>10364</v>
      </c>
      <c r="BM648" t="s">
        <v>10365</v>
      </c>
      <c r="BN648" t="s">
        <v>74</v>
      </c>
      <c r="BO648" t="s">
        <v>1249</v>
      </c>
      <c r="BP648" t="s">
        <v>74</v>
      </c>
      <c r="BQ648" t="s">
        <v>74</v>
      </c>
      <c r="BR648" t="s">
        <v>101</v>
      </c>
      <c r="BS648" t="s">
        <v>10366</v>
      </c>
      <c r="BT648" t="str">
        <f>HYPERLINK("https%3A%2F%2Fwww.webofscience.com%2Fwos%2Fwoscc%2Ffull-record%2FWOS:000244346800001","View Full Record in Web of Science")</f>
        <v>View Full Record in Web of Science</v>
      </c>
    </row>
    <row r="649" spans="1:72" x14ac:dyDescent="0.15">
      <c r="A649" t="s">
        <v>72</v>
      </c>
      <c r="B649" t="s">
        <v>10367</v>
      </c>
      <c r="C649" t="s">
        <v>74</v>
      </c>
      <c r="D649" t="s">
        <v>74</v>
      </c>
      <c r="E649" t="s">
        <v>74</v>
      </c>
      <c r="F649" t="s">
        <v>10368</v>
      </c>
      <c r="G649" t="s">
        <v>74</v>
      </c>
      <c r="H649" t="s">
        <v>74</v>
      </c>
      <c r="I649" t="s">
        <v>10369</v>
      </c>
      <c r="J649" t="s">
        <v>10370</v>
      </c>
      <c r="K649" t="s">
        <v>74</v>
      </c>
      <c r="L649" t="s">
        <v>74</v>
      </c>
      <c r="M649" t="s">
        <v>78</v>
      </c>
      <c r="N649" t="s">
        <v>79</v>
      </c>
      <c r="O649" t="s">
        <v>74</v>
      </c>
      <c r="P649" t="s">
        <v>74</v>
      </c>
      <c r="Q649" t="s">
        <v>74</v>
      </c>
      <c r="R649" t="s">
        <v>74</v>
      </c>
      <c r="S649" t="s">
        <v>74</v>
      </c>
      <c r="T649" t="s">
        <v>74</v>
      </c>
      <c r="U649" t="s">
        <v>10371</v>
      </c>
      <c r="V649" t="s">
        <v>10372</v>
      </c>
      <c r="W649" t="s">
        <v>10373</v>
      </c>
      <c r="X649" t="s">
        <v>10374</v>
      </c>
      <c r="Y649" t="s">
        <v>10375</v>
      </c>
      <c r="Z649" t="s">
        <v>10376</v>
      </c>
      <c r="AA649" t="s">
        <v>10377</v>
      </c>
      <c r="AB649" t="s">
        <v>74</v>
      </c>
      <c r="AC649" t="s">
        <v>10378</v>
      </c>
      <c r="AD649" t="s">
        <v>10379</v>
      </c>
      <c r="AE649" t="s">
        <v>74</v>
      </c>
      <c r="AF649" t="s">
        <v>74</v>
      </c>
      <c r="AG649">
        <v>51</v>
      </c>
      <c r="AH649">
        <v>43</v>
      </c>
      <c r="AI649">
        <v>47</v>
      </c>
      <c r="AJ649">
        <v>0</v>
      </c>
      <c r="AK649">
        <v>25</v>
      </c>
      <c r="AL649" t="s">
        <v>3589</v>
      </c>
      <c r="AM649" t="s">
        <v>1504</v>
      </c>
      <c r="AN649" t="s">
        <v>3590</v>
      </c>
      <c r="AO649" t="s">
        <v>10380</v>
      </c>
      <c r="AP649" t="s">
        <v>74</v>
      </c>
      <c r="AQ649" t="s">
        <v>74</v>
      </c>
      <c r="AR649" t="s">
        <v>10381</v>
      </c>
      <c r="AS649" t="s">
        <v>10382</v>
      </c>
      <c r="AT649" t="s">
        <v>9849</v>
      </c>
      <c r="AU649">
        <v>2007</v>
      </c>
      <c r="AV649">
        <v>9</v>
      </c>
      <c r="AW649">
        <v>3</v>
      </c>
      <c r="AX649" t="s">
        <v>74</v>
      </c>
      <c r="AY649" t="s">
        <v>74</v>
      </c>
      <c r="AZ649" t="s">
        <v>74</v>
      </c>
      <c r="BA649" t="s">
        <v>74</v>
      </c>
      <c r="BB649">
        <v>593</v>
      </c>
      <c r="BC649">
        <v>602</v>
      </c>
      <c r="BD649" t="s">
        <v>74</v>
      </c>
      <c r="BE649" t="s">
        <v>10383</v>
      </c>
      <c r="BF649" t="str">
        <f>HYPERLINK("http://dx.doi.org/10.1111/j.1462-2920.2006.01175.x","http://dx.doi.org/10.1111/j.1462-2920.2006.01175.x")</f>
        <v>http://dx.doi.org/10.1111/j.1462-2920.2006.01175.x</v>
      </c>
      <c r="BG649" t="s">
        <v>74</v>
      </c>
      <c r="BH649" t="s">
        <v>74</v>
      </c>
      <c r="BI649">
        <v>10</v>
      </c>
      <c r="BJ649" t="s">
        <v>1722</v>
      </c>
      <c r="BK649" t="s">
        <v>98</v>
      </c>
      <c r="BL649" t="s">
        <v>1722</v>
      </c>
      <c r="BM649" t="s">
        <v>10384</v>
      </c>
      <c r="BN649">
        <v>17298360</v>
      </c>
      <c r="BO649" t="s">
        <v>74</v>
      </c>
      <c r="BP649" t="s">
        <v>74</v>
      </c>
      <c r="BQ649" t="s">
        <v>74</v>
      </c>
      <c r="BR649" t="s">
        <v>101</v>
      </c>
      <c r="BS649" t="s">
        <v>10385</v>
      </c>
      <c r="BT649" t="str">
        <f>HYPERLINK("https%3A%2F%2Fwww.webofscience.com%2Fwos%2Fwoscc%2Ffull-record%2FWOS:000244078500004","View Full Record in Web of Science")</f>
        <v>View Full Record in Web of Science</v>
      </c>
    </row>
    <row r="650" spans="1:72" x14ac:dyDescent="0.15">
      <c r="A650" t="s">
        <v>72</v>
      </c>
      <c r="B650" t="s">
        <v>10386</v>
      </c>
      <c r="C650" t="s">
        <v>74</v>
      </c>
      <c r="D650" t="s">
        <v>74</v>
      </c>
      <c r="E650" t="s">
        <v>74</v>
      </c>
      <c r="F650" t="s">
        <v>10387</v>
      </c>
      <c r="G650" t="s">
        <v>74</v>
      </c>
      <c r="H650" t="s">
        <v>74</v>
      </c>
      <c r="I650" t="s">
        <v>10388</v>
      </c>
      <c r="J650" t="s">
        <v>7341</v>
      </c>
      <c r="K650" t="s">
        <v>74</v>
      </c>
      <c r="L650" t="s">
        <v>74</v>
      </c>
      <c r="M650" t="s">
        <v>78</v>
      </c>
      <c r="N650" t="s">
        <v>79</v>
      </c>
      <c r="O650" t="s">
        <v>74</v>
      </c>
      <c r="P650" t="s">
        <v>74</v>
      </c>
      <c r="Q650" t="s">
        <v>74</v>
      </c>
      <c r="R650" t="s">
        <v>74</v>
      </c>
      <c r="S650" t="s">
        <v>74</v>
      </c>
      <c r="T650" t="s">
        <v>10389</v>
      </c>
      <c r="U650" t="s">
        <v>10390</v>
      </c>
      <c r="V650" t="s">
        <v>10391</v>
      </c>
      <c r="W650" t="s">
        <v>10392</v>
      </c>
      <c r="X650" t="s">
        <v>10393</v>
      </c>
      <c r="Y650" t="s">
        <v>10394</v>
      </c>
      <c r="Z650" t="s">
        <v>10395</v>
      </c>
      <c r="AA650" t="s">
        <v>74</v>
      </c>
      <c r="AB650" t="s">
        <v>74</v>
      </c>
      <c r="AC650" t="s">
        <v>74</v>
      </c>
      <c r="AD650" t="s">
        <v>74</v>
      </c>
      <c r="AE650" t="s">
        <v>74</v>
      </c>
      <c r="AF650" t="s">
        <v>74</v>
      </c>
      <c r="AG650">
        <v>40</v>
      </c>
      <c r="AH650">
        <v>12</v>
      </c>
      <c r="AI650">
        <v>15</v>
      </c>
      <c r="AJ650">
        <v>0</v>
      </c>
      <c r="AK650">
        <v>21</v>
      </c>
      <c r="AL650" t="s">
        <v>1202</v>
      </c>
      <c r="AM650" t="s">
        <v>1203</v>
      </c>
      <c r="AN650" t="s">
        <v>1204</v>
      </c>
      <c r="AO650" t="s">
        <v>7350</v>
      </c>
      <c r="AP650" t="s">
        <v>7351</v>
      </c>
      <c r="AQ650" t="s">
        <v>74</v>
      </c>
      <c r="AR650" t="s">
        <v>7352</v>
      </c>
      <c r="AS650" t="s">
        <v>7353</v>
      </c>
      <c r="AT650" t="s">
        <v>9849</v>
      </c>
      <c r="AU650">
        <v>2007</v>
      </c>
      <c r="AV650">
        <v>26</v>
      </c>
      <c r="AW650">
        <v>3</v>
      </c>
      <c r="AX650" t="s">
        <v>74</v>
      </c>
      <c r="AY650" t="s">
        <v>74</v>
      </c>
      <c r="AZ650" t="s">
        <v>74</v>
      </c>
      <c r="BA650" t="s">
        <v>74</v>
      </c>
      <c r="BB650">
        <v>381</v>
      </c>
      <c r="BC650">
        <v>386</v>
      </c>
      <c r="BD650" t="s">
        <v>74</v>
      </c>
      <c r="BE650" t="s">
        <v>10396</v>
      </c>
      <c r="BF650" t="str">
        <f>HYPERLINK("http://dx.doi.org/10.1897/06-128.1","http://dx.doi.org/10.1897/06-128.1")</f>
        <v>http://dx.doi.org/10.1897/06-128.1</v>
      </c>
      <c r="BG650" t="s">
        <v>74</v>
      </c>
      <c r="BH650" t="s">
        <v>74</v>
      </c>
      <c r="BI650">
        <v>6</v>
      </c>
      <c r="BJ650" t="s">
        <v>7355</v>
      </c>
      <c r="BK650" t="s">
        <v>98</v>
      </c>
      <c r="BL650" t="s">
        <v>7356</v>
      </c>
      <c r="BM650" t="s">
        <v>10397</v>
      </c>
      <c r="BN650">
        <v>17373500</v>
      </c>
      <c r="BO650" t="s">
        <v>74</v>
      </c>
      <c r="BP650" t="s">
        <v>74</v>
      </c>
      <c r="BQ650" t="s">
        <v>74</v>
      </c>
      <c r="BR650" t="s">
        <v>101</v>
      </c>
      <c r="BS650" t="s">
        <v>10398</v>
      </c>
      <c r="BT650" t="str">
        <f>HYPERLINK("https%3A%2F%2Fwww.webofscience.com%2Fwos%2Fwoscc%2Ffull-record%2FWOS:000244241600001","View Full Record in Web of Science")</f>
        <v>View Full Record in Web of Science</v>
      </c>
    </row>
    <row r="651" spans="1:72" x14ac:dyDescent="0.15">
      <c r="A651" t="s">
        <v>72</v>
      </c>
      <c r="B651" t="s">
        <v>10399</v>
      </c>
      <c r="C651" t="s">
        <v>74</v>
      </c>
      <c r="D651" t="s">
        <v>74</v>
      </c>
      <c r="E651" t="s">
        <v>74</v>
      </c>
      <c r="F651" t="s">
        <v>10400</v>
      </c>
      <c r="G651" t="s">
        <v>74</v>
      </c>
      <c r="H651" t="s">
        <v>74</v>
      </c>
      <c r="I651" t="s">
        <v>10401</v>
      </c>
      <c r="J651" t="s">
        <v>10402</v>
      </c>
      <c r="K651" t="s">
        <v>74</v>
      </c>
      <c r="L651" t="s">
        <v>74</v>
      </c>
      <c r="M651" t="s">
        <v>78</v>
      </c>
      <c r="N651" t="s">
        <v>248</v>
      </c>
      <c r="O651" t="s">
        <v>74</v>
      </c>
      <c r="P651" t="s">
        <v>74</v>
      </c>
      <c r="Q651" t="s">
        <v>74</v>
      </c>
      <c r="R651" t="s">
        <v>74</v>
      </c>
      <c r="S651" t="s">
        <v>74</v>
      </c>
      <c r="T651" t="s">
        <v>74</v>
      </c>
      <c r="U651" t="s">
        <v>10403</v>
      </c>
      <c r="V651" t="s">
        <v>10404</v>
      </c>
      <c r="W651" t="s">
        <v>10405</v>
      </c>
      <c r="X651" t="s">
        <v>10406</v>
      </c>
      <c r="Y651" t="s">
        <v>10407</v>
      </c>
      <c r="Z651" t="s">
        <v>10408</v>
      </c>
      <c r="AA651" t="s">
        <v>10409</v>
      </c>
      <c r="AB651" t="s">
        <v>10410</v>
      </c>
      <c r="AC651" t="s">
        <v>74</v>
      </c>
      <c r="AD651" t="s">
        <v>74</v>
      </c>
      <c r="AE651" t="s">
        <v>74</v>
      </c>
      <c r="AF651" t="s">
        <v>74</v>
      </c>
      <c r="AG651">
        <v>102</v>
      </c>
      <c r="AH651">
        <v>115</v>
      </c>
      <c r="AI651">
        <v>127</v>
      </c>
      <c r="AJ651">
        <v>2</v>
      </c>
      <c r="AK651">
        <v>19</v>
      </c>
      <c r="AL651" t="s">
        <v>10411</v>
      </c>
      <c r="AM651" t="s">
        <v>2031</v>
      </c>
      <c r="AN651" t="s">
        <v>10412</v>
      </c>
      <c r="AO651" t="s">
        <v>10413</v>
      </c>
      <c r="AP651" t="s">
        <v>74</v>
      </c>
      <c r="AQ651" t="s">
        <v>74</v>
      </c>
      <c r="AR651" t="s">
        <v>10402</v>
      </c>
      <c r="AS651" t="s">
        <v>10414</v>
      </c>
      <c r="AT651" t="s">
        <v>9849</v>
      </c>
      <c r="AU651">
        <v>2007</v>
      </c>
      <c r="AV651">
        <v>30</v>
      </c>
      <c r="AW651">
        <v>1</v>
      </c>
      <c r="AX651" t="s">
        <v>74</v>
      </c>
      <c r="AY651" t="s">
        <v>74</v>
      </c>
      <c r="AZ651" t="s">
        <v>74</v>
      </c>
      <c r="BA651" t="s">
        <v>74</v>
      </c>
      <c r="BB651">
        <v>20</v>
      </c>
      <c r="BC651">
        <v>31</v>
      </c>
      <c r="BD651" t="s">
        <v>74</v>
      </c>
      <c r="BE651" t="s">
        <v>10415</v>
      </c>
      <c r="BF651" t="str">
        <f>HYPERLINK("http://dx.doi.org/10.18814/epiiugs/2007/v30i1/004","http://dx.doi.org/10.18814/epiiugs/2007/v30i1/004")</f>
        <v>http://dx.doi.org/10.18814/epiiugs/2007/v30i1/004</v>
      </c>
      <c r="BG651" t="s">
        <v>74</v>
      </c>
      <c r="BH651" t="s">
        <v>74</v>
      </c>
      <c r="BI651">
        <v>12</v>
      </c>
      <c r="BJ651" t="s">
        <v>151</v>
      </c>
      <c r="BK651" t="s">
        <v>98</v>
      </c>
      <c r="BL651" t="s">
        <v>152</v>
      </c>
      <c r="BM651" t="s">
        <v>10416</v>
      </c>
      <c r="BN651" t="s">
        <v>74</v>
      </c>
      <c r="BO651" t="s">
        <v>577</v>
      </c>
      <c r="BP651" t="s">
        <v>74</v>
      </c>
      <c r="BQ651" t="s">
        <v>74</v>
      </c>
      <c r="BR651" t="s">
        <v>101</v>
      </c>
      <c r="BS651" t="s">
        <v>10417</v>
      </c>
      <c r="BT651" t="str">
        <f>HYPERLINK("https%3A%2F%2Fwww.webofscience.com%2Fwos%2Fwoscc%2Ffull-record%2FWOS:000245928100004","View Full Record in Web of Science")</f>
        <v>View Full Record in Web of Science</v>
      </c>
    </row>
    <row r="652" spans="1:72" x14ac:dyDescent="0.15">
      <c r="A652" t="s">
        <v>72</v>
      </c>
      <c r="B652" t="s">
        <v>10418</v>
      </c>
      <c r="C652" t="s">
        <v>74</v>
      </c>
      <c r="D652" t="s">
        <v>74</v>
      </c>
      <c r="E652" t="s">
        <v>74</v>
      </c>
      <c r="F652" t="s">
        <v>10419</v>
      </c>
      <c r="G652" t="s">
        <v>74</v>
      </c>
      <c r="H652" t="s">
        <v>74</v>
      </c>
      <c r="I652" t="s">
        <v>10420</v>
      </c>
      <c r="J652" t="s">
        <v>10421</v>
      </c>
      <c r="K652" t="s">
        <v>74</v>
      </c>
      <c r="L652" t="s">
        <v>74</v>
      </c>
      <c r="M652" t="s">
        <v>78</v>
      </c>
      <c r="N652" t="s">
        <v>79</v>
      </c>
      <c r="O652" t="s">
        <v>74</v>
      </c>
      <c r="P652" t="s">
        <v>74</v>
      </c>
      <c r="Q652" t="s">
        <v>74</v>
      </c>
      <c r="R652" t="s">
        <v>74</v>
      </c>
      <c r="S652" t="s">
        <v>74</v>
      </c>
      <c r="T652" t="s">
        <v>10422</v>
      </c>
      <c r="U652" t="s">
        <v>10423</v>
      </c>
      <c r="V652" t="s">
        <v>10424</v>
      </c>
      <c r="W652" t="s">
        <v>10425</v>
      </c>
      <c r="X652" t="s">
        <v>1988</v>
      </c>
      <c r="Y652" t="s">
        <v>10426</v>
      </c>
      <c r="Z652" t="s">
        <v>6147</v>
      </c>
      <c r="AA652" t="s">
        <v>74</v>
      </c>
      <c r="AB652" t="s">
        <v>74</v>
      </c>
      <c r="AC652" t="s">
        <v>3097</v>
      </c>
      <c r="AD652" t="s">
        <v>361</v>
      </c>
      <c r="AE652" t="s">
        <v>74</v>
      </c>
      <c r="AF652" t="s">
        <v>74</v>
      </c>
      <c r="AG652">
        <v>27</v>
      </c>
      <c r="AH652">
        <v>3</v>
      </c>
      <c r="AI652">
        <v>5</v>
      </c>
      <c r="AJ652">
        <v>0</v>
      </c>
      <c r="AK652">
        <v>11</v>
      </c>
      <c r="AL652" t="s">
        <v>7454</v>
      </c>
      <c r="AM652" t="s">
        <v>7455</v>
      </c>
      <c r="AN652" t="s">
        <v>7456</v>
      </c>
      <c r="AO652" t="s">
        <v>10427</v>
      </c>
      <c r="AP652" t="s">
        <v>10428</v>
      </c>
      <c r="AQ652" t="s">
        <v>74</v>
      </c>
      <c r="AR652" t="s">
        <v>10429</v>
      </c>
      <c r="AS652" t="s">
        <v>10430</v>
      </c>
      <c r="AT652" t="s">
        <v>9841</v>
      </c>
      <c r="AU652">
        <v>2007</v>
      </c>
      <c r="AV652">
        <v>43</v>
      </c>
      <c r="AW652">
        <v>2</v>
      </c>
      <c r="AX652" t="s">
        <v>74</v>
      </c>
      <c r="AY652" t="s">
        <v>74</v>
      </c>
      <c r="AZ652" t="s">
        <v>74</v>
      </c>
      <c r="BA652" t="s">
        <v>74</v>
      </c>
      <c r="BB652">
        <v>101</v>
      </c>
      <c r="BC652">
        <v>108</v>
      </c>
      <c r="BD652" t="s">
        <v>74</v>
      </c>
      <c r="BE652" t="s">
        <v>10431</v>
      </c>
      <c r="BF652" t="str">
        <f>HYPERLINK("http://dx.doi.org/10.1016/j.ejsobi.2006.10.006","http://dx.doi.org/10.1016/j.ejsobi.2006.10.006")</f>
        <v>http://dx.doi.org/10.1016/j.ejsobi.2006.10.006</v>
      </c>
      <c r="BG652" t="s">
        <v>74</v>
      </c>
      <c r="BH652" t="s">
        <v>74</v>
      </c>
      <c r="BI652">
        <v>8</v>
      </c>
      <c r="BJ652" t="s">
        <v>10432</v>
      </c>
      <c r="BK652" t="s">
        <v>98</v>
      </c>
      <c r="BL652" t="s">
        <v>10433</v>
      </c>
      <c r="BM652" t="s">
        <v>10434</v>
      </c>
      <c r="BN652" t="s">
        <v>74</v>
      </c>
      <c r="BO652" t="s">
        <v>74</v>
      </c>
      <c r="BP652" t="s">
        <v>74</v>
      </c>
      <c r="BQ652" t="s">
        <v>74</v>
      </c>
      <c r="BR652" t="s">
        <v>101</v>
      </c>
      <c r="BS652" t="s">
        <v>10435</v>
      </c>
      <c r="BT652" t="str">
        <f>HYPERLINK("https%3A%2F%2Fwww.webofscience.com%2Fwos%2Fwoscc%2Ffull-record%2FWOS:000245672700005","View Full Record in Web of Science")</f>
        <v>View Full Record in Web of Science</v>
      </c>
    </row>
    <row r="653" spans="1:72" x14ac:dyDescent="0.15">
      <c r="A653" t="s">
        <v>72</v>
      </c>
      <c r="B653" t="s">
        <v>10436</v>
      </c>
      <c r="C653" t="s">
        <v>74</v>
      </c>
      <c r="D653" t="s">
        <v>74</v>
      </c>
      <c r="E653" t="s">
        <v>74</v>
      </c>
      <c r="F653" t="s">
        <v>10437</v>
      </c>
      <c r="G653" t="s">
        <v>74</v>
      </c>
      <c r="H653" t="s">
        <v>74</v>
      </c>
      <c r="I653" t="s">
        <v>10438</v>
      </c>
      <c r="J653" t="s">
        <v>7384</v>
      </c>
      <c r="K653" t="s">
        <v>74</v>
      </c>
      <c r="L653" t="s">
        <v>74</v>
      </c>
      <c r="M653" t="s">
        <v>78</v>
      </c>
      <c r="N653" t="s">
        <v>79</v>
      </c>
      <c r="O653" t="s">
        <v>74</v>
      </c>
      <c r="P653" t="s">
        <v>74</v>
      </c>
      <c r="Q653" t="s">
        <v>74</v>
      </c>
      <c r="R653" t="s">
        <v>74</v>
      </c>
      <c r="S653" t="s">
        <v>74</v>
      </c>
      <c r="T653" t="s">
        <v>10439</v>
      </c>
      <c r="U653" t="s">
        <v>10440</v>
      </c>
      <c r="V653" t="s">
        <v>10441</v>
      </c>
      <c r="W653" t="s">
        <v>10442</v>
      </c>
      <c r="X653" t="s">
        <v>10443</v>
      </c>
      <c r="Y653" t="s">
        <v>10444</v>
      </c>
      <c r="Z653" t="s">
        <v>10445</v>
      </c>
      <c r="AA653" t="s">
        <v>74</v>
      </c>
      <c r="AB653" t="s">
        <v>74</v>
      </c>
      <c r="AC653" t="s">
        <v>74</v>
      </c>
      <c r="AD653" t="s">
        <v>74</v>
      </c>
      <c r="AE653" t="s">
        <v>74</v>
      </c>
      <c r="AF653" t="s">
        <v>74</v>
      </c>
      <c r="AG653">
        <v>46</v>
      </c>
      <c r="AH653">
        <v>23</v>
      </c>
      <c r="AI653">
        <v>25</v>
      </c>
      <c r="AJ653">
        <v>1</v>
      </c>
      <c r="AK653">
        <v>26</v>
      </c>
      <c r="AL653" t="s">
        <v>7392</v>
      </c>
      <c r="AM653" t="s">
        <v>7393</v>
      </c>
      <c r="AN653" t="s">
        <v>10446</v>
      </c>
      <c r="AO653" t="s">
        <v>7395</v>
      </c>
      <c r="AP653" t="s">
        <v>7396</v>
      </c>
      <c r="AQ653" t="s">
        <v>74</v>
      </c>
      <c r="AR653" t="s">
        <v>7384</v>
      </c>
      <c r="AS653" t="s">
        <v>7397</v>
      </c>
      <c r="AT653" t="s">
        <v>9849</v>
      </c>
      <c r="AU653">
        <v>2007</v>
      </c>
      <c r="AV653">
        <v>11</v>
      </c>
      <c r="AW653">
        <v>2</v>
      </c>
      <c r="AX653" t="s">
        <v>74</v>
      </c>
      <c r="AY653" t="s">
        <v>74</v>
      </c>
      <c r="AZ653" t="s">
        <v>74</v>
      </c>
      <c r="BA653" t="s">
        <v>74</v>
      </c>
      <c r="BB653">
        <v>257</v>
      </c>
      <c r="BC653">
        <v>267</v>
      </c>
      <c r="BD653" t="s">
        <v>74</v>
      </c>
      <c r="BE653" t="s">
        <v>10447</v>
      </c>
      <c r="BF653" t="str">
        <f>HYPERLINK("http://dx.doi.org/10.1007/s00792-006-0034-1","http://dx.doi.org/10.1007/s00792-006-0034-1")</f>
        <v>http://dx.doi.org/10.1007/s00792-006-0034-1</v>
      </c>
      <c r="BG653" t="s">
        <v>74</v>
      </c>
      <c r="BH653" t="s">
        <v>74</v>
      </c>
      <c r="BI653">
        <v>11</v>
      </c>
      <c r="BJ653" t="s">
        <v>7399</v>
      </c>
      <c r="BK653" t="s">
        <v>98</v>
      </c>
      <c r="BL653" t="s">
        <v>7399</v>
      </c>
      <c r="BM653" t="s">
        <v>10448</v>
      </c>
      <c r="BN653">
        <v>17072683</v>
      </c>
      <c r="BO653" t="s">
        <v>74</v>
      </c>
      <c r="BP653" t="s">
        <v>74</v>
      </c>
      <c r="BQ653" t="s">
        <v>74</v>
      </c>
      <c r="BR653" t="s">
        <v>101</v>
      </c>
      <c r="BS653" t="s">
        <v>10449</v>
      </c>
      <c r="BT653" t="str">
        <f>HYPERLINK("https%3A%2F%2Fwww.webofscience.com%2Fwos%2Fwoscc%2Ffull-record%2FWOS:000244336400007","View Full Record in Web of Science")</f>
        <v>View Full Record in Web of Science</v>
      </c>
    </row>
    <row r="654" spans="1:72" x14ac:dyDescent="0.15">
      <c r="A654" t="s">
        <v>72</v>
      </c>
      <c r="B654" t="s">
        <v>10450</v>
      </c>
      <c r="C654" t="s">
        <v>74</v>
      </c>
      <c r="D654" t="s">
        <v>74</v>
      </c>
      <c r="E654" t="s">
        <v>74</v>
      </c>
      <c r="F654" t="s">
        <v>10451</v>
      </c>
      <c r="G654" t="s">
        <v>74</v>
      </c>
      <c r="H654" t="s">
        <v>74</v>
      </c>
      <c r="I654" t="s">
        <v>10452</v>
      </c>
      <c r="J654" t="s">
        <v>7384</v>
      </c>
      <c r="K654" t="s">
        <v>74</v>
      </c>
      <c r="L654" t="s">
        <v>74</v>
      </c>
      <c r="M654" t="s">
        <v>78</v>
      </c>
      <c r="N654" t="s">
        <v>79</v>
      </c>
      <c r="O654" t="s">
        <v>74</v>
      </c>
      <c r="P654" t="s">
        <v>74</v>
      </c>
      <c r="Q654" t="s">
        <v>74</v>
      </c>
      <c r="R654" t="s">
        <v>74</v>
      </c>
      <c r="S654" t="s">
        <v>74</v>
      </c>
      <c r="T654" t="s">
        <v>10453</v>
      </c>
      <c r="U654" t="s">
        <v>10454</v>
      </c>
      <c r="V654" t="s">
        <v>10455</v>
      </c>
      <c r="W654" t="s">
        <v>10456</v>
      </c>
      <c r="X654" t="s">
        <v>10457</v>
      </c>
      <c r="Y654" t="s">
        <v>10458</v>
      </c>
      <c r="Z654" t="s">
        <v>10459</v>
      </c>
      <c r="AA654" t="s">
        <v>74</v>
      </c>
      <c r="AB654" t="s">
        <v>10460</v>
      </c>
      <c r="AC654" t="s">
        <v>74</v>
      </c>
      <c r="AD654" t="s">
        <v>74</v>
      </c>
      <c r="AE654" t="s">
        <v>74</v>
      </c>
      <c r="AF654" t="s">
        <v>74</v>
      </c>
      <c r="AG654">
        <v>69</v>
      </c>
      <c r="AH654">
        <v>88</v>
      </c>
      <c r="AI654">
        <v>110</v>
      </c>
      <c r="AJ654">
        <v>0</v>
      </c>
      <c r="AK654">
        <v>21</v>
      </c>
      <c r="AL654" t="s">
        <v>7392</v>
      </c>
      <c r="AM654" t="s">
        <v>7393</v>
      </c>
      <c r="AN654" t="s">
        <v>7394</v>
      </c>
      <c r="AO654" t="s">
        <v>7395</v>
      </c>
      <c r="AP654" t="s">
        <v>7396</v>
      </c>
      <c r="AQ654" t="s">
        <v>74</v>
      </c>
      <c r="AR654" t="s">
        <v>7384</v>
      </c>
      <c r="AS654" t="s">
        <v>7397</v>
      </c>
      <c r="AT654" t="s">
        <v>9849</v>
      </c>
      <c r="AU654">
        <v>2007</v>
      </c>
      <c r="AV654">
        <v>11</v>
      </c>
      <c r="AW654">
        <v>2</v>
      </c>
      <c r="AX654" t="s">
        <v>74</v>
      </c>
      <c r="AY654" t="s">
        <v>74</v>
      </c>
      <c r="AZ654" t="s">
        <v>74</v>
      </c>
      <c r="BA654" t="s">
        <v>74</v>
      </c>
      <c r="BB654">
        <v>343</v>
      </c>
      <c r="BC654">
        <v>354</v>
      </c>
      <c r="BD654" t="s">
        <v>74</v>
      </c>
      <c r="BE654" t="s">
        <v>10461</v>
      </c>
      <c r="BF654" t="str">
        <f>HYPERLINK("http://dx.doi.org/10.1007/s00792-006-0042-1","http://dx.doi.org/10.1007/s00792-006-0042-1")</f>
        <v>http://dx.doi.org/10.1007/s00792-006-0042-1</v>
      </c>
      <c r="BG654" t="s">
        <v>74</v>
      </c>
      <c r="BH654" t="s">
        <v>74</v>
      </c>
      <c r="BI654">
        <v>12</v>
      </c>
      <c r="BJ654" t="s">
        <v>7399</v>
      </c>
      <c r="BK654" t="s">
        <v>98</v>
      </c>
      <c r="BL654" t="s">
        <v>7399</v>
      </c>
      <c r="BM654" t="s">
        <v>10448</v>
      </c>
      <c r="BN654">
        <v>17123128</v>
      </c>
      <c r="BO654" t="s">
        <v>74</v>
      </c>
      <c r="BP654" t="s">
        <v>74</v>
      </c>
      <c r="BQ654" t="s">
        <v>74</v>
      </c>
      <c r="BR654" t="s">
        <v>101</v>
      </c>
      <c r="BS654" t="s">
        <v>10462</v>
      </c>
      <c r="BT654" t="str">
        <f>HYPERLINK("https%3A%2F%2Fwww.webofscience.com%2Fwos%2Fwoscc%2Ffull-record%2FWOS:000244336400015","View Full Record in Web of Science")</f>
        <v>View Full Record in Web of Science</v>
      </c>
    </row>
    <row r="655" spans="1:72" x14ac:dyDescent="0.15">
      <c r="A655" t="s">
        <v>72</v>
      </c>
      <c r="B655" t="s">
        <v>10463</v>
      </c>
      <c r="C655" t="s">
        <v>74</v>
      </c>
      <c r="D655" t="s">
        <v>74</v>
      </c>
      <c r="E655" t="s">
        <v>74</v>
      </c>
      <c r="F655" t="s">
        <v>10464</v>
      </c>
      <c r="G655" t="s">
        <v>74</v>
      </c>
      <c r="H655" t="s">
        <v>74</v>
      </c>
      <c r="I655" t="s">
        <v>10465</v>
      </c>
      <c r="J655" t="s">
        <v>10466</v>
      </c>
      <c r="K655" t="s">
        <v>74</v>
      </c>
      <c r="L655" t="s">
        <v>74</v>
      </c>
      <c r="M655" t="s">
        <v>78</v>
      </c>
      <c r="N655" t="s">
        <v>79</v>
      </c>
      <c r="O655" t="s">
        <v>74</v>
      </c>
      <c r="P655" t="s">
        <v>74</v>
      </c>
      <c r="Q655" t="s">
        <v>74</v>
      </c>
      <c r="R655" t="s">
        <v>74</v>
      </c>
      <c r="S655" t="s">
        <v>74</v>
      </c>
      <c r="T655" t="s">
        <v>10467</v>
      </c>
      <c r="U655" t="s">
        <v>10468</v>
      </c>
      <c r="V655" t="s">
        <v>10469</v>
      </c>
      <c r="W655" t="s">
        <v>10470</v>
      </c>
      <c r="X655" t="s">
        <v>10471</v>
      </c>
      <c r="Y655" t="s">
        <v>10472</v>
      </c>
      <c r="Z655" t="s">
        <v>10473</v>
      </c>
      <c r="AA655" t="s">
        <v>10474</v>
      </c>
      <c r="AB655" t="s">
        <v>10475</v>
      </c>
      <c r="AC655" t="s">
        <v>74</v>
      </c>
      <c r="AD655" t="s">
        <v>74</v>
      </c>
      <c r="AE655" t="s">
        <v>74</v>
      </c>
      <c r="AF655" t="s">
        <v>74</v>
      </c>
      <c r="AG655">
        <v>43</v>
      </c>
      <c r="AH655">
        <v>25</v>
      </c>
      <c r="AI655">
        <v>31</v>
      </c>
      <c r="AJ655">
        <v>0</v>
      </c>
      <c r="AK655">
        <v>8</v>
      </c>
      <c r="AL655" t="s">
        <v>1202</v>
      </c>
      <c r="AM655" t="s">
        <v>1203</v>
      </c>
      <c r="AN655" t="s">
        <v>1204</v>
      </c>
      <c r="AO655" t="s">
        <v>10476</v>
      </c>
      <c r="AP655" t="s">
        <v>10477</v>
      </c>
      <c r="AQ655" t="s">
        <v>74</v>
      </c>
      <c r="AR655" t="s">
        <v>10478</v>
      </c>
      <c r="AS655" t="s">
        <v>10479</v>
      </c>
      <c r="AT655" t="s">
        <v>9849</v>
      </c>
      <c r="AU655">
        <v>2007</v>
      </c>
      <c r="AV655">
        <v>274</v>
      </c>
      <c r="AW655">
        <v>6</v>
      </c>
      <c r="AX655" t="s">
        <v>74</v>
      </c>
      <c r="AY655" t="s">
        <v>74</v>
      </c>
      <c r="AZ655" t="s">
        <v>74</v>
      </c>
      <c r="BA655" t="s">
        <v>74</v>
      </c>
      <c r="BB655">
        <v>1621</v>
      </c>
      <c r="BC655">
        <v>1633</v>
      </c>
      <c r="BD655" t="s">
        <v>74</v>
      </c>
      <c r="BE655" t="s">
        <v>10480</v>
      </c>
      <c r="BF655" t="str">
        <f>HYPERLINK("http://dx.doi.org/10.1111/j.1742-4658.2007.05711.x","http://dx.doi.org/10.1111/j.1742-4658.2007.05711.x")</f>
        <v>http://dx.doi.org/10.1111/j.1742-4658.2007.05711.x</v>
      </c>
      <c r="BG655" t="s">
        <v>74</v>
      </c>
      <c r="BH655" t="s">
        <v>74</v>
      </c>
      <c r="BI655">
        <v>13</v>
      </c>
      <c r="BJ655" t="s">
        <v>2547</v>
      </c>
      <c r="BK655" t="s">
        <v>98</v>
      </c>
      <c r="BL655" t="s">
        <v>2547</v>
      </c>
      <c r="BM655" t="s">
        <v>10481</v>
      </c>
      <c r="BN655">
        <v>17480210</v>
      </c>
      <c r="BO655" t="s">
        <v>154</v>
      </c>
      <c r="BP655" t="s">
        <v>74</v>
      </c>
      <c r="BQ655" t="s">
        <v>74</v>
      </c>
      <c r="BR655" t="s">
        <v>101</v>
      </c>
      <c r="BS655" t="s">
        <v>10482</v>
      </c>
      <c r="BT655" t="str">
        <f>HYPERLINK("https%3A%2F%2Fwww.webofscience.com%2Fwos%2Fwoscc%2Ffull-record%2FWOS:000244543200025","View Full Record in Web of Science")</f>
        <v>View Full Record in Web of Science</v>
      </c>
    </row>
    <row r="656" spans="1:72" x14ac:dyDescent="0.15">
      <c r="A656" t="s">
        <v>72</v>
      </c>
      <c r="B656" t="s">
        <v>10483</v>
      </c>
      <c r="C656" t="s">
        <v>74</v>
      </c>
      <c r="D656" t="s">
        <v>74</v>
      </c>
      <c r="E656" t="s">
        <v>74</v>
      </c>
      <c r="F656" t="s">
        <v>10484</v>
      </c>
      <c r="G656" t="s">
        <v>74</v>
      </c>
      <c r="H656" t="s">
        <v>74</v>
      </c>
      <c r="I656" t="s">
        <v>10485</v>
      </c>
      <c r="J656" t="s">
        <v>7405</v>
      </c>
      <c r="K656" t="s">
        <v>74</v>
      </c>
      <c r="L656" t="s">
        <v>74</v>
      </c>
      <c r="M656" t="s">
        <v>78</v>
      </c>
      <c r="N656" t="s">
        <v>514</v>
      </c>
      <c r="O656" t="s">
        <v>10486</v>
      </c>
      <c r="P656" t="s">
        <v>10487</v>
      </c>
      <c r="Q656" t="s">
        <v>10488</v>
      </c>
      <c r="R656" t="s">
        <v>74</v>
      </c>
      <c r="S656" t="s">
        <v>74</v>
      </c>
      <c r="T656" t="s">
        <v>10489</v>
      </c>
      <c r="U656" t="s">
        <v>10490</v>
      </c>
      <c r="V656" t="s">
        <v>10491</v>
      </c>
      <c r="W656" t="s">
        <v>10492</v>
      </c>
      <c r="X656" t="s">
        <v>74</v>
      </c>
      <c r="Y656" t="s">
        <v>10493</v>
      </c>
      <c r="Z656" t="s">
        <v>10494</v>
      </c>
      <c r="AA656" t="s">
        <v>74</v>
      </c>
      <c r="AB656" t="s">
        <v>74</v>
      </c>
      <c r="AC656" t="s">
        <v>74</v>
      </c>
      <c r="AD656" t="s">
        <v>74</v>
      </c>
      <c r="AE656" t="s">
        <v>74</v>
      </c>
      <c r="AF656" t="s">
        <v>74</v>
      </c>
      <c r="AG656">
        <v>32</v>
      </c>
      <c r="AH656">
        <v>64</v>
      </c>
      <c r="AI656">
        <v>71</v>
      </c>
      <c r="AJ656">
        <v>0</v>
      </c>
      <c r="AK656">
        <v>15</v>
      </c>
      <c r="AL656" t="s">
        <v>592</v>
      </c>
      <c r="AM656" t="s">
        <v>273</v>
      </c>
      <c r="AN656" t="s">
        <v>593</v>
      </c>
      <c r="AO656" t="s">
        <v>7415</v>
      </c>
      <c r="AP656" t="s">
        <v>7416</v>
      </c>
      <c r="AQ656" t="s">
        <v>74</v>
      </c>
      <c r="AR656" t="s">
        <v>7417</v>
      </c>
      <c r="AS656" t="s">
        <v>7418</v>
      </c>
      <c r="AT656" t="s">
        <v>9849</v>
      </c>
      <c r="AU656">
        <v>2007</v>
      </c>
      <c r="AV656">
        <v>84</v>
      </c>
      <c r="AW656">
        <v>1</v>
      </c>
      <c r="AX656" t="s">
        <v>74</v>
      </c>
      <c r="AY656" t="s">
        <v>74</v>
      </c>
      <c r="AZ656" t="s">
        <v>532</v>
      </c>
      <c r="BA656" t="s">
        <v>74</v>
      </c>
      <c r="BB656">
        <v>32</v>
      </c>
      <c r="BC656">
        <v>40</v>
      </c>
      <c r="BD656" t="s">
        <v>74</v>
      </c>
      <c r="BE656" t="s">
        <v>10495</v>
      </c>
      <c r="BF656" t="str">
        <f>HYPERLINK("http://dx.doi.org/10.1016/j.fishres.2006.11.009","http://dx.doi.org/10.1016/j.fishres.2006.11.009")</f>
        <v>http://dx.doi.org/10.1016/j.fishres.2006.11.009</v>
      </c>
      <c r="BG656" t="s">
        <v>74</v>
      </c>
      <c r="BH656" t="s">
        <v>74</v>
      </c>
      <c r="BI656">
        <v>9</v>
      </c>
      <c r="BJ656" t="s">
        <v>1210</v>
      </c>
      <c r="BK656" t="s">
        <v>535</v>
      </c>
      <c r="BL656" t="s">
        <v>1210</v>
      </c>
      <c r="BM656" t="s">
        <v>10496</v>
      </c>
      <c r="BN656" t="s">
        <v>74</v>
      </c>
      <c r="BO656" t="s">
        <v>74</v>
      </c>
      <c r="BP656" t="s">
        <v>74</v>
      </c>
      <c r="BQ656" t="s">
        <v>74</v>
      </c>
      <c r="BR656" t="s">
        <v>101</v>
      </c>
      <c r="BS656" t="s">
        <v>10497</v>
      </c>
      <c r="BT656" t="str">
        <f>HYPERLINK("https%3A%2F%2Fwww.webofscience.com%2Fwos%2Fwoscc%2Ffull-record%2FWOS:000244822500006","View Full Record in Web of Science")</f>
        <v>View Full Record in Web of Science</v>
      </c>
    </row>
    <row r="657" spans="1:72" x14ac:dyDescent="0.15">
      <c r="A657" t="s">
        <v>72</v>
      </c>
      <c r="B657" t="s">
        <v>10498</v>
      </c>
      <c r="C657" t="s">
        <v>74</v>
      </c>
      <c r="D657" t="s">
        <v>74</v>
      </c>
      <c r="E657" t="s">
        <v>74</v>
      </c>
      <c r="F657" t="s">
        <v>10499</v>
      </c>
      <c r="G657" t="s">
        <v>74</v>
      </c>
      <c r="H657" t="s">
        <v>74</v>
      </c>
      <c r="I657" t="s">
        <v>10500</v>
      </c>
      <c r="J657" t="s">
        <v>10501</v>
      </c>
      <c r="K657" t="s">
        <v>74</v>
      </c>
      <c r="L657" t="s">
        <v>74</v>
      </c>
      <c r="M657" t="s">
        <v>78</v>
      </c>
      <c r="N657" t="s">
        <v>79</v>
      </c>
      <c r="O657" t="s">
        <v>74</v>
      </c>
      <c r="P657" t="s">
        <v>74</v>
      </c>
      <c r="Q657" t="s">
        <v>74</v>
      </c>
      <c r="R657" t="s">
        <v>74</v>
      </c>
      <c r="S657" t="s">
        <v>74</v>
      </c>
      <c r="T657" t="s">
        <v>10502</v>
      </c>
      <c r="U657" t="s">
        <v>10503</v>
      </c>
      <c r="V657" t="s">
        <v>10504</v>
      </c>
      <c r="W657" t="s">
        <v>10505</v>
      </c>
      <c r="X657" t="s">
        <v>10506</v>
      </c>
      <c r="Y657" t="s">
        <v>10507</v>
      </c>
      <c r="Z657" t="s">
        <v>10508</v>
      </c>
      <c r="AA657" t="s">
        <v>10509</v>
      </c>
      <c r="AB657" t="s">
        <v>10510</v>
      </c>
      <c r="AC657" t="s">
        <v>74</v>
      </c>
      <c r="AD657" t="s">
        <v>74</v>
      </c>
      <c r="AE657" t="s">
        <v>74</v>
      </c>
      <c r="AF657" t="s">
        <v>74</v>
      </c>
      <c r="AG657">
        <v>98</v>
      </c>
      <c r="AH657">
        <v>78</v>
      </c>
      <c r="AI657">
        <v>86</v>
      </c>
      <c r="AJ657">
        <v>0</v>
      </c>
      <c r="AK657">
        <v>16</v>
      </c>
      <c r="AL657" t="s">
        <v>1840</v>
      </c>
      <c r="AM657" t="s">
        <v>1263</v>
      </c>
      <c r="AN657" t="s">
        <v>1841</v>
      </c>
      <c r="AO657" t="s">
        <v>10511</v>
      </c>
      <c r="AP657" t="s">
        <v>10512</v>
      </c>
      <c r="AQ657" t="s">
        <v>74</v>
      </c>
      <c r="AR657" t="s">
        <v>10513</v>
      </c>
      <c r="AS657" t="s">
        <v>10514</v>
      </c>
      <c r="AT657" t="s">
        <v>9841</v>
      </c>
      <c r="AU657">
        <v>2007</v>
      </c>
      <c r="AV657">
        <v>119</v>
      </c>
      <c r="AW657" t="s">
        <v>686</v>
      </c>
      <c r="AX657" t="s">
        <v>74</v>
      </c>
      <c r="AY657" t="s">
        <v>74</v>
      </c>
      <c r="AZ657" t="s">
        <v>74</v>
      </c>
      <c r="BA657" t="s">
        <v>74</v>
      </c>
      <c r="BB657">
        <v>275</v>
      </c>
      <c r="BC657">
        <v>288</v>
      </c>
      <c r="BD657" t="s">
        <v>74</v>
      </c>
      <c r="BE657" t="s">
        <v>10515</v>
      </c>
      <c r="BF657" t="str">
        <f>HYPERLINK("http://dx.doi.org/10.1130/B25891.1","http://dx.doi.org/10.1130/B25891.1")</f>
        <v>http://dx.doi.org/10.1130/B25891.1</v>
      </c>
      <c r="BG657" t="s">
        <v>74</v>
      </c>
      <c r="BH657" t="s">
        <v>74</v>
      </c>
      <c r="BI657">
        <v>14</v>
      </c>
      <c r="BJ657" t="s">
        <v>151</v>
      </c>
      <c r="BK657" t="s">
        <v>98</v>
      </c>
      <c r="BL657" t="s">
        <v>152</v>
      </c>
      <c r="BM657" t="s">
        <v>10516</v>
      </c>
      <c r="BN657" t="s">
        <v>74</v>
      </c>
      <c r="BO657" t="s">
        <v>74</v>
      </c>
      <c r="BP657" t="s">
        <v>74</v>
      </c>
      <c r="BQ657" t="s">
        <v>74</v>
      </c>
      <c r="BR657" t="s">
        <v>101</v>
      </c>
      <c r="BS657" t="s">
        <v>10517</v>
      </c>
      <c r="BT657" t="str">
        <f>HYPERLINK("https%3A%2F%2Fwww.webofscience.com%2Fwos%2Fwoscc%2Ffull-record%2FWOS:000246465600002","View Full Record in Web of Science")</f>
        <v>View Full Record in Web of Science</v>
      </c>
    </row>
    <row r="658" spans="1:72" x14ac:dyDescent="0.15">
      <c r="A658" t="s">
        <v>72</v>
      </c>
      <c r="B658" t="s">
        <v>10518</v>
      </c>
      <c r="C658" t="s">
        <v>74</v>
      </c>
      <c r="D658" t="s">
        <v>74</v>
      </c>
      <c r="E658" t="s">
        <v>74</v>
      </c>
      <c r="F658" t="s">
        <v>10519</v>
      </c>
      <c r="G658" t="s">
        <v>74</v>
      </c>
      <c r="H658" t="s">
        <v>74</v>
      </c>
      <c r="I658" t="s">
        <v>10520</v>
      </c>
      <c r="J658" t="s">
        <v>1832</v>
      </c>
      <c r="K658" t="s">
        <v>74</v>
      </c>
      <c r="L658" t="s">
        <v>74</v>
      </c>
      <c r="M658" t="s">
        <v>78</v>
      </c>
      <c r="N658" t="s">
        <v>79</v>
      </c>
      <c r="O658" t="s">
        <v>74</v>
      </c>
      <c r="P658" t="s">
        <v>74</v>
      </c>
      <c r="Q658" t="s">
        <v>74</v>
      </c>
      <c r="R658" t="s">
        <v>74</v>
      </c>
      <c r="S658" t="s">
        <v>74</v>
      </c>
      <c r="T658" t="s">
        <v>10521</v>
      </c>
      <c r="U658" t="s">
        <v>10522</v>
      </c>
      <c r="V658" t="s">
        <v>10523</v>
      </c>
      <c r="W658" t="s">
        <v>10524</v>
      </c>
      <c r="X658" t="s">
        <v>10525</v>
      </c>
      <c r="Y658" t="s">
        <v>10526</v>
      </c>
      <c r="Z658" t="s">
        <v>74</v>
      </c>
      <c r="AA658" t="s">
        <v>9471</v>
      </c>
      <c r="AB658" t="s">
        <v>74</v>
      </c>
      <c r="AC658" t="s">
        <v>4770</v>
      </c>
      <c r="AD658" t="s">
        <v>140</v>
      </c>
      <c r="AE658" t="s">
        <v>74</v>
      </c>
      <c r="AF658" t="s">
        <v>74</v>
      </c>
      <c r="AG658">
        <v>38</v>
      </c>
      <c r="AH658">
        <v>47</v>
      </c>
      <c r="AI658">
        <v>55</v>
      </c>
      <c r="AJ658">
        <v>0</v>
      </c>
      <c r="AK658">
        <v>15</v>
      </c>
      <c r="AL658" t="s">
        <v>1840</v>
      </c>
      <c r="AM658" t="s">
        <v>1263</v>
      </c>
      <c r="AN658" t="s">
        <v>1841</v>
      </c>
      <c r="AO658" t="s">
        <v>1842</v>
      </c>
      <c r="AP658" t="s">
        <v>1843</v>
      </c>
      <c r="AQ658" t="s">
        <v>74</v>
      </c>
      <c r="AR658" t="s">
        <v>1832</v>
      </c>
      <c r="AS658" t="s">
        <v>152</v>
      </c>
      <c r="AT658" t="s">
        <v>9849</v>
      </c>
      <c r="AU658">
        <v>2007</v>
      </c>
      <c r="AV658">
        <v>35</v>
      </c>
      <c r="AW658">
        <v>3</v>
      </c>
      <c r="AX658" t="s">
        <v>74</v>
      </c>
      <c r="AY658" t="s">
        <v>74</v>
      </c>
      <c r="AZ658" t="s">
        <v>74</v>
      </c>
      <c r="BA658" t="s">
        <v>74</v>
      </c>
      <c r="BB658">
        <v>251</v>
      </c>
      <c r="BC658">
        <v>254</v>
      </c>
      <c r="BD658" t="s">
        <v>74</v>
      </c>
      <c r="BE658" t="s">
        <v>10527</v>
      </c>
      <c r="BF658" t="str">
        <f>HYPERLINK("http://dx.doi.org/10.1130/G23222A.1","http://dx.doi.org/10.1130/G23222A.1")</f>
        <v>http://dx.doi.org/10.1130/G23222A.1</v>
      </c>
      <c r="BG658" t="s">
        <v>74</v>
      </c>
      <c r="BH658" t="s">
        <v>74</v>
      </c>
      <c r="BI658">
        <v>4</v>
      </c>
      <c r="BJ658" t="s">
        <v>152</v>
      </c>
      <c r="BK658" t="s">
        <v>98</v>
      </c>
      <c r="BL658" t="s">
        <v>152</v>
      </c>
      <c r="BM658" t="s">
        <v>10528</v>
      </c>
      <c r="BN658" t="s">
        <v>74</v>
      </c>
      <c r="BO658" t="s">
        <v>74</v>
      </c>
      <c r="BP658" t="s">
        <v>74</v>
      </c>
      <c r="BQ658" t="s">
        <v>74</v>
      </c>
      <c r="BR658" t="s">
        <v>101</v>
      </c>
      <c r="BS658" t="s">
        <v>10529</v>
      </c>
      <c r="BT658" t="str">
        <f>HYPERLINK("https%3A%2F%2Fwww.webofscience.com%2Fwos%2Fwoscc%2Ffull-record%2FWOS:000247627700015","View Full Record in Web of Science")</f>
        <v>View Full Record in Web of Science</v>
      </c>
    </row>
    <row r="659" spans="1:72" x14ac:dyDescent="0.15">
      <c r="A659" t="s">
        <v>72</v>
      </c>
      <c r="B659" t="s">
        <v>10530</v>
      </c>
      <c r="C659" t="s">
        <v>74</v>
      </c>
      <c r="D659" t="s">
        <v>74</v>
      </c>
      <c r="E659" t="s">
        <v>74</v>
      </c>
      <c r="F659" t="s">
        <v>10531</v>
      </c>
      <c r="G659" t="s">
        <v>74</v>
      </c>
      <c r="H659" t="s">
        <v>74</v>
      </c>
      <c r="I659" t="s">
        <v>10532</v>
      </c>
      <c r="J659" t="s">
        <v>10533</v>
      </c>
      <c r="K659" t="s">
        <v>74</v>
      </c>
      <c r="L659" t="s">
        <v>74</v>
      </c>
      <c r="M659" t="s">
        <v>78</v>
      </c>
      <c r="N659" t="s">
        <v>79</v>
      </c>
      <c r="O659" t="s">
        <v>74</v>
      </c>
      <c r="P659" t="s">
        <v>74</v>
      </c>
      <c r="Q659" t="s">
        <v>74</v>
      </c>
      <c r="R659" t="s">
        <v>74</v>
      </c>
      <c r="S659" t="s">
        <v>74</v>
      </c>
      <c r="T659" t="s">
        <v>10534</v>
      </c>
      <c r="U659" t="s">
        <v>10535</v>
      </c>
      <c r="V659" t="s">
        <v>10536</v>
      </c>
      <c r="W659" t="s">
        <v>10537</v>
      </c>
      <c r="X659" t="s">
        <v>10538</v>
      </c>
      <c r="Y659" t="s">
        <v>10539</v>
      </c>
      <c r="Z659" t="s">
        <v>10540</v>
      </c>
      <c r="AA659" t="s">
        <v>74</v>
      </c>
      <c r="AB659" t="s">
        <v>10541</v>
      </c>
      <c r="AC659" t="s">
        <v>74</v>
      </c>
      <c r="AD659" t="s">
        <v>74</v>
      </c>
      <c r="AE659" t="s">
        <v>74</v>
      </c>
      <c r="AF659" t="s">
        <v>74</v>
      </c>
      <c r="AG659">
        <v>58</v>
      </c>
      <c r="AH659">
        <v>8</v>
      </c>
      <c r="AI659">
        <v>13</v>
      </c>
      <c r="AJ659">
        <v>2</v>
      </c>
      <c r="AK659">
        <v>11</v>
      </c>
      <c r="AL659" t="s">
        <v>10542</v>
      </c>
      <c r="AM659" t="s">
        <v>2031</v>
      </c>
      <c r="AN659" t="s">
        <v>10543</v>
      </c>
      <c r="AO659" t="s">
        <v>10544</v>
      </c>
      <c r="AP659" t="s">
        <v>10545</v>
      </c>
      <c r="AQ659" t="s">
        <v>74</v>
      </c>
      <c r="AR659" t="s">
        <v>10546</v>
      </c>
      <c r="AS659" t="s">
        <v>10547</v>
      </c>
      <c r="AT659" t="s">
        <v>9849</v>
      </c>
      <c r="AU659">
        <v>2007</v>
      </c>
      <c r="AV659">
        <v>11</v>
      </c>
      <c r="AW659">
        <v>1</v>
      </c>
      <c r="AX659" t="s">
        <v>74</v>
      </c>
      <c r="AY659" t="s">
        <v>74</v>
      </c>
      <c r="AZ659" t="s">
        <v>74</v>
      </c>
      <c r="BA659" t="s">
        <v>74</v>
      </c>
      <c r="BB659">
        <v>11</v>
      </c>
      <c r="BC659">
        <v>22</v>
      </c>
      <c r="BD659" t="s">
        <v>74</v>
      </c>
      <c r="BE659" t="s">
        <v>10548</v>
      </c>
      <c r="BF659" t="str">
        <f>HYPERLINK("http://dx.doi.org/10.1007/BF02910377","http://dx.doi.org/10.1007/BF02910377")</f>
        <v>http://dx.doi.org/10.1007/BF02910377</v>
      </c>
      <c r="BG659" t="s">
        <v>74</v>
      </c>
      <c r="BH659" t="s">
        <v>74</v>
      </c>
      <c r="BI659">
        <v>12</v>
      </c>
      <c r="BJ659" t="s">
        <v>151</v>
      </c>
      <c r="BK659" t="s">
        <v>98</v>
      </c>
      <c r="BL659" t="s">
        <v>152</v>
      </c>
      <c r="BM659" t="s">
        <v>10549</v>
      </c>
      <c r="BN659" t="s">
        <v>74</v>
      </c>
      <c r="BO659" t="s">
        <v>74</v>
      </c>
      <c r="BP659" t="s">
        <v>74</v>
      </c>
      <c r="BQ659" t="s">
        <v>74</v>
      </c>
      <c r="BR659" t="s">
        <v>101</v>
      </c>
      <c r="BS659" t="s">
        <v>10550</v>
      </c>
      <c r="BT659" t="str">
        <f>HYPERLINK("https%3A%2F%2Fwww.webofscience.com%2Fwos%2Fwoscc%2Ffull-record%2FWOS:000245788400002","View Full Record in Web of Science")</f>
        <v>View Full Record in Web of Science</v>
      </c>
    </row>
    <row r="660" spans="1:72" x14ac:dyDescent="0.15">
      <c r="A660" t="s">
        <v>72</v>
      </c>
      <c r="B660" t="s">
        <v>10551</v>
      </c>
      <c r="C660" t="s">
        <v>74</v>
      </c>
      <c r="D660" t="s">
        <v>74</v>
      </c>
      <c r="E660" t="s">
        <v>74</v>
      </c>
      <c r="F660" t="s">
        <v>10552</v>
      </c>
      <c r="G660" t="s">
        <v>74</v>
      </c>
      <c r="H660" t="s">
        <v>74</v>
      </c>
      <c r="I660" t="s">
        <v>10553</v>
      </c>
      <c r="J660" t="s">
        <v>10554</v>
      </c>
      <c r="K660" t="s">
        <v>74</v>
      </c>
      <c r="L660" t="s">
        <v>74</v>
      </c>
      <c r="M660" t="s">
        <v>78</v>
      </c>
      <c r="N660" t="s">
        <v>79</v>
      </c>
      <c r="O660" t="s">
        <v>74</v>
      </c>
      <c r="P660" t="s">
        <v>74</v>
      </c>
      <c r="Q660" t="s">
        <v>74</v>
      </c>
      <c r="R660" t="s">
        <v>74</v>
      </c>
      <c r="S660" t="s">
        <v>74</v>
      </c>
      <c r="T660" t="s">
        <v>10555</v>
      </c>
      <c r="U660" t="s">
        <v>10556</v>
      </c>
      <c r="V660" t="s">
        <v>10557</v>
      </c>
      <c r="W660" t="s">
        <v>10558</v>
      </c>
      <c r="X660" t="s">
        <v>10559</v>
      </c>
      <c r="Y660" t="s">
        <v>10560</v>
      </c>
      <c r="Z660" t="s">
        <v>10561</v>
      </c>
      <c r="AA660" t="s">
        <v>10562</v>
      </c>
      <c r="AB660" t="s">
        <v>10563</v>
      </c>
      <c r="AC660" t="s">
        <v>74</v>
      </c>
      <c r="AD660" t="s">
        <v>74</v>
      </c>
      <c r="AE660" t="s">
        <v>74</v>
      </c>
      <c r="AF660" t="s">
        <v>74</v>
      </c>
      <c r="AG660">
        <v>24</v>
      </c>
      <c r="AH660">
        <v>14</v>
      </c>
      <c r="AI660">
        <v>14</v>
      </c>
      <c r="AJ660">
        <v>1</v>
      </c>
      <c r="AK660">
        <v>12</v>
      </c>
      <c r="AL660" t="s">
        <v>1592</v>
      </c>
      <c r="AM660" t="s">
        <v>1593</v>
      </c>
      <c r="AN660" t="s">
        <v>2406</v>
      </c>
      <c r="AO660" t="s">
        <v>10564</v>
      </c>
      <c r="AP660" t="s">
        <v>10565</v>
      </c>
      <c r="AQ660" t="s">
        <v>74</v>
      </c>
      <c r="AR660" t="s">
        <v>10566</v>
      </c>
      <c r="AS660" t="s">
        <v>10567</v>
      </c>
      <c r="AT660" t="s">
        <v>9849</v>
      </c>
      <c r="AU660">
        <v>2007</v>
      </c>
      <c r="AV660">
        <v>12</v>
      </c>
      <c r="AW660">
        <v>1</v>
      </c>
      <c r="AX660" t="s">
        <v>74</v>
      </c>
      <c r="AY660" t="s">
        <v>74</v>
      </c>
      <c r="AZ660" t="s">
        <v>74</v>
      </c>
      <c r="BA660" t="s">
        <v>74</v>
      </c>
      <c r="BB660">
        <v>41</v>
      </c>
      <c r="BC660">
        <v>54</v>
      </c>
      <c r="BD660" t="s">
        <v>74</v>
      </c>
      <c r="BE660" t="s">
        <v>10568</v>
      </c>
      <c r="BF660" t="str">
        <f>HYPERLINK("http://dx.doi.org/10.1198/108571107X162920","http://dx.doi.org/10.1198/108571107X162920")</f>
        <v>http://dx.doi.org/10.1198/108571107X162920</v>
      </c>
      <c r="BG660" t="s">
        <v>74</v>
      </c>
      <c r="BH660" t="s">
        <v>74</v>
      </c>
      <c r="BI660">
        <v>14</v>
      </c>
      <c r="BJ660" t="s">
        <v>10569</v>
      </c>
      <c r="BK660" t="s">
        <v>98</v>
      </c>
      <c r="BL660" t="s">
        <v>10570</v>
      </c>
      <c r="BM660" t="s">
        <v>10571</v>
      </c>
      <c r="BN660" t="s">
        <v>74</v>
      </c>
      <c r="BO660" t="s">
        <v>74</v>
      </c>
      <c r="BP660" t="s">
        <v>74</v>
      </c>
      <c r="BQ660" t="s">
        <v>74</v>
      </c>
      <c r="BR660" t="s">
        <v>101</v>
      </c>
      <c r="BS660" t="s">
        <v>10572</v>
      </c>
      <c r="BT660" t="str">
        <f>HYPERLINK("https%3A%2F%2Fwww.webofscience.com%2Fwos%2Fwoscc%2Ffull-record%2FWOS:000244815500003","View Full Record in Web of Science")</f>
        <v>View Full Record in Web of Science</v>
      </c>
    </row>
    <row r="661" spans="1:72" x14ac:dyDescent="0.15">
      <c r="A661" t="s">
        <v>72</v>
      </c>
      <c r="B661" t="s">
        <v>10573</v>
      </c>
      <c r="C661" t="s">
        <v>74</v>
      </c>
      <c r="D661" t="s">
        <v>74</v>
      </c>
      <c r="E661" t="s">
        <v>74</v>
      </c>
      <c r="F661" t="s">
        <v>10574</v>
      </c>
      <c r="G661" t="s">
        <v>74</v>
      </c>
      <c r="H661" t="s">
        <v>74</v>
      </c>
      <c r="I661" t="s">
        <v>10575</v>
      </c>
      <c r="J661" t="s">
        <v>10576</v>
      </c>
      <c r="K661" t="s">
        <v>74</v>
      </c>
      <c r="L661" t="s">
        <v>74</v>
      </c>
      <c r="M661" t="s">
        <v>78</v>
      </c>
      <c r="N661" t="s">
        <v>79</v>
      </c>
      <c r="O661" t="s">
        <v>74</v>
      </c>
      <c r="P661" t="s">
        <v>74</v>
      </c>
      <c r="Q661" t="s">
        <v>74</v>
      </c>
      <c r="R661" t="s">
        <v>74</v>
      </c>
      <c r="S661" t="s">
        <v>74</v>
      </c>
      <c r="T661" t="s">
        <v>10577</v>
      </c>
      <c r="U661" t="s">
        <v>10578</v>
      </c>
      <c r="V661" t="s">
        <v>10579</v>
      </c>
      <c r="W661" t="s">
        <v>10580</v>
      </c>
      <c r="X661" t="s">
        <v>10581</v>
      </c>
      <c r="Y661" t="s">
        <v>10582</v>
      </c>
      <c r="Z661" t="s">
        <v>10583</v>
      </c>
      <c r="AA661" t="s">
        <v>10584</v>
      </c>
      <c r="AB661" t="s">
        <v>10585</v>
      </c>
      <c r="AC661" t="s">
        <v>74</v>
      </c>
      <c r="AD661" t="s">
        <v>74</v>
      </c>
      <c r="AE661" t="s">
        <v>74</v>
      </c>
      <c r="AF661" t="s">
        <v>74</v>
      </c>
      <c r="AG661">
        <v>100</v>
      </c>
      <c r="AH661">
        <v>131</v>
      </c>
      <c r="AI661">
        <v>145</v>
      </c>
      <c r="AJ661">
        <v>0</v>
      </c>
      <c r="AK661">
        <v>28</v>
      </c>
      <c r="AL661" t="s">
        <v>1202</v>
      </c>
      <c r="AM661" t="s">
        <v>1203</v>
      </c>
      <c r="AN661" t="s">
        <v>1204</v>
      </c>
      <c r="AO661" t="s">
        <v>10586</v>
      </c>
      <c r="AP661" t="s">
        <v>10587</v>
      </c>
      <c r="AQ661" t="s">
        <v>74</v>
      </c>
      <c r="AR661" t="s">
        <v>10588</v>
      </c>
      <c r="AS661" t="s">
        <v>10589</v>
      </c>
      <c r="AT661" t="s">
        <v>9849</v>
      </c>
      <c r="AU661">
        <v>2007</v>
      </c>
      <c r="AV661">
        <v>34</v>
      </c>
      <c r="AW661">
        <v>3</v>
      </c>
      <c r="AX661" t="s">
        <v>74</v>
      </c>
      <c r="AY661" t="s">
        <v>74</v>
      </c>
      <c r="AZ661" t="s">
        <v>74</v>
      </c>
      <c r="BA661" t="s">
        <v>74</v>
      </c>
      <c r="BB661">
        <v>398</v>
      </c>
      <c r="BC661">
        <v>416</v>
      </c>
      <c r="BD661" t="s">
        <v>74</v>
      </c>
      <c r="BE661" t="s">
        <v>10590</v>
      </c>
      <c r="BF661" t="str">
        <f>HYPERLINK("http://dx.doi.org/10.1111/j.1365-2699.2006.01655.x","http://dx.doi.org/10.1111/j.1365-2699.2006.01655.x")</f>
        <v>http://dx.doi.org/10.1111/j.1365-2699.2006.01655.x</v>
      </c>
      <c r="BG661" t="s">
        <v>74</v>
      </c>
      <c r="BH661" t="s">
        <v>74</v>
      </c>
      <c r="BI661">
        <v>19</v>
      </c>
      <c r="BJ661" t="s">
        <v>10591</v>
      </c>
      <c r="BK661" t="s">
        <v>98</v>
      </c>
      <c r="BL661" t="s">
        <v>1234</v>
      </c>
      <c r="BM661" t="s">
        <v>10592</v>
      </c>
      <c r="BN661" t="s">
        <v>74</v>
      </c>
      <c r="BO661" t="s">
        <v>1249</v>
      </c>
      <c r="BP661" t="s">
        <v>74</v>
      </c>
      <c r="BQ661" t="s">
        <v>74</v>
      </c>
      <c r="BR661" t="s">
        <v>101</v>
      </c>
      <c r="BS661" t="s">
        <v>10593</v>
      </c>
      <c r="BT661" t="str">
        <f>HYPERLINK("https%3A%2F%2Fwww.webofscience.com%2Fwos%2Fwoscc%2Ffull-record%2FWOS:000244113900004","View Full Record in Web of Science")</f>
        <v>View Full Record in Web of Science</v>
      </c>
    </row>
    <row r="662" spans="1:72" x14ac:dyDescent="0.15">
      <c r="A662" t="s">
        <v>72</v>
      </c>
      <c r="B662" t="s">
        <v>10594</v>
      </c>
      <c r="C662" t="s">
        <v>74</v>
      </c>
      <c r="D662" t="s">
        <v>74</v>
      </c>
      <c r="E662" t="s">
        <v>74</v>
      </c>
      <c r="F662" t="s">
        <v>10595</v>
      </c>
      <c r="G662" t="s">
        <v>74</v>
      </c>
      <c r="H662" t="s">
        <v>74</v>
      </c>
      <c r="I662" t="s">
        <v>10596</v>
      </c>
      <c r="J662" t="s">
        <v>10597</v>
      </c>
      <c r="K662" t="s">
        <v>74</v>
      </c>
      <c r="L662" t="s">
        <v>74</v>
      </c>
      <c r="M662" t="s">
        <v>78</v>
      </c>
      <c r="N662" t="s">
        <v>79</v>
      </c>
      <c r="O662" t="s">
        <v>74</v>
      </c>
      <c r="P662" t="s">
        <v>74</v>
      </c>
      <c r="Q662" t="s">
        <v>74</v>
      </c>
      <c r="R662" t="s">
        <v>74</v>
      </c>
      <c r="S662" t="s">
        <v>74</v>
      </c>
      <c r="T662" t="s">
        <v>10598</v>
      </c>
      <c r="U662" t="s">
        <v>74</v>
      </c>
      <c r="V662" t="s">
        <v>10599</v>
      </c>
      <c r="W662" t="s">
        <v>10600</v>
      </c>
      <c r="X662" t="s">
        <v>10601</v>
      </c>
      <c r="Y662" t="s">
        <v>10602</v>
      </c>
      <c r="Z662" t="s">
        <v>10603</v>
      </c>
      <c r="AA662" t="s">
        <v>74</v>
      </c>
      <c r="AB662" t="s">
        <v>74</v>
      </c>
      <c r="AC662" t="s">
        <v>74</v>
      </c>
      <c r="AD662" t="s">
        <v>74</v>
      </c>
      <c r="AE662" t="s">
        <v>74</v>
      </c>
      <c r="AF662" t="s">
        <v>74</v>
      </c>
      <c r="AG662">
        <v>15</v>
      </c>
      <c r="AH662">
        <v>12</v>
      </c>
      <c r="AI662">
        <v>12</v>
      </c>
      <c r="AJ662">
        <v>1</v>
      </c>
      <c r="AK662">
        <v>19</v>
      </c>
      <c r="AL662" t="s">
        <v>1592</v>
      </c>
      <c r="AM662" t="s">
        <v>1593</v>
      </c>
      <c r="AN662" t="s">
        <v>2406</v>
      </c>
      <c r="AO662" t="s">
        <v>10604</v>
      </c>
      <c r="AP662" t="s">
        <v>10605</v>
      </c>
      <c r="AQ662" t="s">
        <v>74</v>
      </c>
      <c r="AR662" t="s">
        <v>10606</v>
      </c>
      <c r="AS662" t="s">
        <v>10607</v>
      </c>
      <c r="AT662" t="s">
        <v>9849</v>
      </c>
      <c r="AU662">
        <v>2007</v>
      </c>
      <c r="AV662">
        <v>4</v>
      </c>
      <c r="AW662">
        <v>1</v>
      </c>
      <c r="AX662" t="s">
        <v>74</v>
      </c>
      <c r="AY662" t="s">
        <v>74</v>
      </c>
      <c r="AZ662" t="s">
        <v>74</v>
      </c>
      <c r="BA662" t="s">
        <v>74</v>
      </c>
      <c r="BB662">
        <v>75</v>
      </c>
      <c r="BC662">
        <v>87</v>
      </c>
      <c r="BD662" t="s">
        <v>74</v>
      </c>
      <c r="BE662" t="s">
        <v>10608</v>
      </c>
      <c r="BF662" t="str">
        <f>HYPERLINK("http://dx.doi.org/10.1007/s11998-007-9003-6","http://dx.doi.org/10.1007/s11998-007-9003-6")</f>
        <v>http://dx.doi.org/10.1007/s11998-007-9003-6</v>
      </c>
      <c r="BG662" t="s">
        <v>74</v>
      </c>
      <c r="BH662" t="s">
        <v>74</v>
      </c>
      <c r="BI662">
        <v>13</v>
      </c>
      <c r="BJ662" t="s">
        <v>10609</v>
      </c>
      <c r="BK662" t="s">
        <v>98</v>
      </c>
      <c r="BL662" t="s">
        <v>10610</v>
      </c>
      <c r="BM662" t="s">
        <v>10611</v>
      </c>
      <c r="BN662" t="s">
        <v>74</v>
      </c>
      <c r="BO662" t="s">
        <v>74</v>
      </c>
      <c r="BP662" t="s">
        <v>74</v>
      </c>
      <c r="BQ662" t="s">
        <v>74</v>
      </c>
      <c r="BR662" t="s">
        <v>101</v>
      </c>
      <c r="BS662" t="s">
        <v>10612</v>
      </c>
      <c r="BT662" t="str">
        <f>HYPERLINK("https%3A%2F%2Fwww.webofscience.com%2Fwos%2Fwoscc%2Ffull-record%2FWOS:000248694800009","View Full Record in Web of Science")</f>
        <v>View Full Record in Web of Science</v>
      </c>
    </row>
    <row r="663" spans="1:72" x14ac:dyDescent="0.15">
      <c r="A663" t="s">
        <v>72</v>
      </c>
      <c r="B663" t="s">
        <v>10613</v>
      </c>
      <c r="C663" t="s">
        <v>74</v>
      </c>
      <c r="D663" t="s">
        <v>74</v>
      </c>
      <c r="E663" t="s">
        <v>74</v>
      </c>
      <c r="F663" t="s">
        <v>10614</v>
      </c>
      <c r="G663" t="s">
        <v>74</v>
      </c>
      <c r="H663" t="s">
        <v>74</v>
      </c>
      <c r="I663" t="s">
        <v>10615</v>
      </c>
      <c r="J663" t="s">
        <v>10616</v>
      </c>
      <c r="K663" t="s">
        <v>74</v>
      </c>
      <c r="L663" t="s">
        <v>74</v>
      </c>
      <c r="M663" t="s">
        <v>78</v>
      </c>
      <c r="N663" t="s">
        <v>514</v>
      </c>
      <c r="O663" t="s">
        <v>10617</v>
      </c>
      <c r="P663" t="s">
        <v>10618</v>
      </c>
      <c r="Q663" t="s">
        <v>10619</v>
      </c>
      <c r="R663" t="s">
        <v>74</v>
      </c>
      <c r="S663" t="s">
        <v>10620</v>
      </c>
      <c r="T663" t="s">
        <v>74</v>
      </c>
      <c r="U663" t="s">
        <v>10621</v>
      </c>
      <c r="V663" t="s">
        <v>10622</v>
      </c>
      <c r="W663" t="s">
        <v>4766</v>
      </c>
      <c r="X663" t="s">
        <v>1988</v>
      </c>
      <c r="Y663" t="s">
        <v>10623</v>
      </c>
      <c r="Z663" t="s">
        <v>74</v>
      </c>
      <c r="AA663" t="s">
        <v>74</v>
      </c>
      <c r="AB663" t="s">
        <v>74</v>
      </c>
      <c r="AC663" t="s">
        <v>4770</v>
      </c>
      <c r="AD663" t="s">
        <v>140</v>
      </c>
      <c r="AE663" t="s">
        <v>74</v>
      </c>
      <c r="AF663" t="s">
        <v>74</v>
      </c>
      <c r="AG663">
        <v>49</v>
      </c>
      <c r="AH663">
        <v>32</v>
      </c>
      <c r="AI663">
        <v>38</v>
      </c>
      <c r="AJ663">
        <v>0</v>
      </c>
      <c r="AK663">
        <v>6</v>
      </c>
      <c r="AL663" t="s">
        <v>10624</v>
      </c>
      <c r="AM663" t="s">
        <v>10625</v>
      </c>
      <c r="AN663" t="s">
        <v>10626</v>
      </c>
      <c r="AO663" t="s">
        <v>10627</v>
      </c>
      <c r="AP663" t="s">
        <v>74</v>
      </c>
      <c r="AQ663" t="s">
        <v>74</v>
      </c>
      <c r="AR663" t="s">
        <v>10628</v>
      </c>
      <c r="AS663" t="s">
        <v>10629</v>
      </c>
      <c r="AT663" t="s">
        <v>9849</v>
      </c>
      <c r="AU663">
        <v>2007</v>
      </c>
      <c r="AV663">
        <v>12</v>
      </c>
      <c r="AW663">
        <v>1</v>
      </c>
      <c r="AX663" t="s">
        <v>74</v>
      </c>
      <c r="AY663" t="s">
        <v>74</v>
      </c>
      <c r="AZ663" t="s">
        <v>74</v>
      </c>
      <c r="BA663" t="s">
        <v>74</v>
      </c>
      <c r="BB663">
        <v>3</v>
      </c>
      <c r="BC663">
        <v>13</v>
      </c>
      <c r="BD663" t="s">
        <v>74</v>
      </c>
      <c r="BE663" t="s">
        <v>10630</v>
      </c>
      <c r="BF663" t="str">
        <f>HYPERLINK("http://dx.doi.org/10.2113/JEEG12.1.3","http://dx.doi.org/10.2113/JEEG12.1.3")</f>
        <v>http://dx.doi.org/10.2113/JEEG12.1.3</v>
      </c>
      <c r="BG663" t="s">
        <v>74</v>
      </c>
      <c r="BH663" t="s">
        <v>74</v>
      </c>
      <c r="BI663">
        <v>11</v>
      </c>
      <c r="BJ663" t="s">
        <v>10631</v>
      </c>
      <c r="BK663" t="s">
        <v>535</v>
      </c>
      <c r="BL663" t="s">
        <v>10632</v>
      </c>
      <c r="BM663" t="s">
        <v>10633</v>
      </c>
      <c r="BN663" t="s">
        <v>74</v>
      </c>
      <c r="BO663" t="s">
        <v>74</v>
      </c>
      <c r="BP663" t="s">
        <v>74</v>
      </c>
      <c r="BQ663" t="s">
        <v>74</v>
      </c>
      <c r="BR663" t="s">
        <v>101</v>
      </c>
      <c r="BS663" t="s">
        <v>10634</v>
      </c>
      <c r="BT663" t="str">
        <f>HYPERLINK("https%3A%2F%2Fwww.webofscience.com%2Fwos%2Fwoscc%2Ffull-record%2FWOS:000245778100002","View Full Record in Web of Science")</f>
        <v>View Full Record in Web of Science</v>
      </c>
    </row>
    <row r="664" spans="1:72" x14ac:dyDescent="0.15">
      <c r="A664" t="s">
        <v>72</v>
      </c>
      <c r="B664" t="s">
        <v>10635</v>
      </c>
      <c r="C664" t="s">
        <v>74</v>
      </c>
      <c r="D664" t="s">
        <v>74</v>
      </c>
      <c r="E664" t="s">
        <v>74</v>
      </c>
      <c r="F664" t="s">
        <v>10636</v>
      </c>
      <c r="G664" t="s">
        <v>74</v>
      </c>
      <c r="H664" t="s">
        <v>74</v>
      </c>
      <c r="I664" t="s">
        <v>10637</v>
      </c>
      <c r="J664" t="s">
        <v>10616</v>
      </c>
      <c r="K664" t="s">
        <v>74</v>
      </c>
      <c r="L664" t="s">
        <v>74</v>
      </c>
      <c r="M664" t="s">
        <v>78</v>
      </c>
      <c r="N664" t="s">
        <v>514</v>
      </c>
      <c r="O664" t="s">
        <v>10617</v>
      </c>
      <c r="P664" t="s">
        <v>10618</v>
      </c>
      <c r="Q664" t="s">
        <v>10619</v>
      </c>
      <c r="R664" t="s">
        <v>74</v>
      </c>
      <c r="S664" t="s">
        <v>10620</v>
      </c>
      <c r="T664" t="s">
        <v>74</v>
      </c>
      <c r="U664" t="s">
        <v>10638</v>
      </c>
      <c r="V664" t="s">
        <v>10639</v>
      </c>
      <c r="W664" t="s">
        <v>9499</v>
      </c>
      <c r="X664" t="s">
        <v>1988</v>
      </c>
      <c r="Y664" t="s">
        <v>10640</v>
      </c>
      <c r="Z664" t="s">
        <v>74</v>
      </c>
      <c r="AA664" t="s">
        <v>74</v>
      </c>
      <c r="AB664" t="s">
        <v>74</v>
      </c>
      <c r="AC664" t="s">
        <v>4770</v>
      </c>
      <c r="AD664" t="s">
        <v>140</v>
      </c>
      <c r="AE664" t="s">
        <v>74</v>
      </c>
      <c r="AF664" t="s">
        <v>74</v>
      </c>
      <c r="AG664">
        <v>28</v>
      </c>
      <c r="AH664">
        <v>29</v>
      </c>
      <c r="AI664">
        <v>34</v>
      </c>
      <c r="AJ664">
        <v>0</v>
      </c>
      <c r="AK664">
        <v>8</v>
      </c>
      <c r="AL664" t="s">
        <v>10641</v>
      </c>
      <c r="AM664" t="s">
        <v>10625</v>
      </c>
      <c r="AN664" t="s">
        <v>10626</v>
      </c>
      <c r="AO664" t="s">
        <v>10627</v>
      </c>
      <c r="AP664" t="s">
        <v>74</v>
      </c>
      <c r="AQ664" t="s">
        <v>74</v>
      </c>
      <c r="AR664" t="s">
        <v>10628</v>
      </c>
      <c r="AS664" t="s">
        <v>10629</v>
      </c>
      <c r="AT664" t="s">
        <v>9849</v>
      </c>
      <c r="AU664">
        <v>2007</v>
      </c>
      <c r="AV664">
        <v>12</v>
      </c>
      <c r="AW664">
        <v>1</v>
      </c>
      <c r="AX664" t="s">
        <v>74</v>
      </c>
      <c r="AY664" t="s">
        <v>74</v>
      </c>
      <c r="AZ664" t="s">
        <v>74</v>
      </c>
      <c r="BA664" t="s">
        <v>74</v>
      </c>
      <c r="BB664">
        <v>15</v>
      </c>
      <c r="BC664">
        <v>21</v>
      </c>
      <c r="BD664" t="s">
        <v>74</v>
      </c>
      <c r="BE664" t="s">
        <v>10642</v>
      </c>
      <c r="BF664" t="str">
        <f>HYPERLINK("http://dx.doi.org/10.2113/JEEG12.1.15","http://dx.doi.org/10.2113/JEEG12.1.15")</f>
        <v>http://dx.doi.org/10.2113/JEEG12.1.15</v>
      </c>
      <c r="BG664" t="s">
        <v>74</v>
      </c>
      <c r="BH664" t="s">
        <v>74</v>
      </c>
      <c r="BI664">
        <v>7</v>
      </c>
      <c r="BJ664" t="s">
        <v>10631</v>
      </c>
      <c r="BK664" t="s">
        <v>745</v>
      </c>
      <c r="BL664" t="s">
        <v>10632</v>
      </c>
      <c r="BM664" t="s">
        <v>10633</v>
      </c>
      <c r="BN664" t="s">
        <v>74</v>
      </c>
      <c r="BO664" t="s">
        <v>74</v>
      </c>
      <c r="BP664" t="s">
        <v>74</v>
      </c>
      <c r="BQ664" t="s">
        <v>74</v>
      </c>
      <c r="BR664" t="s">
        <v>101</v>
      </c>
      <c r="BS664" t="s">
        <v>10643</v>
      </c>
      <c r="BT664" t="str">
        <f>HYPERLINK("https%3A%2F%2Fwww.webofscience.com%2Fwos%2Fwoscc%2Ffull-record%2FWOS:000245778100003","View Full Record in Web of Science")</f>
        <v>View Full Record in Web of Science</v>
      </c>
    </row>
    <row r="665" spans="1:72" x14ac:dyDescent="0.15">
      <c r="A665" t="s">
        <v>72</v>
      </c>
      <c r="B665" t="s">
        <v>10644</v>
      </c>
      <c r="C665" t="s">
        <v>74</v>
      </c>
      <c r="D665" t="s">
        <v>74</v>
      </c>
      <c r="E665" t="s">
        <v>74</v>
      </c>
      <c r="F665" t="s">
        <v>10645</v>
      </c>
      <c r="G665" t="s">
        <v>74</v>
      </c>
      <c r="H665" t="s">
        <v>74</v>
      </c>
      <c r="I665" t="s">
        <v>10646</v>
      </c>
      <c r="J665" t="s">
        <v>10616</v>
      </c>
      <c r="K665" t="s">
        <v>74</v>
      </c>
      <c r="L665" t="s">
        <v>74</v>
      </c>
      <c r="M665" t="s">
        <v>78</v>
      </c>
      <c r="N665" t="s">
        <v>514</v>
      </c>
      <c r="O665" t="s">
        <v>10617</v>
      </c>
      <c r="P665" t="s">
        <v>10618</v>
      </c>
      <c r="Q665" t="s">
        <v>10619</v>
      </c>
      <c r="R665" t="s">
        <v>74</v>
      </c>
      <c r="S665" t="s">
        <v>10620</v>
      </c>
      <c r="T665" t="s">
        <v>74</v>
      </c>
      <c r="U665" t="s">
        <v>10647</v>
      </c>
      <c r="V665" t="s">
        <v>10648</v>
      </c>
      <c r="W665" t="s">
        <v>10649</v>
      </c>
      <c r="X665" t="s">
        <v>10650</v>
      </c>
      <c r="Y665" t="s">
        <v>10651</v>
      </c>
      <c r="Z665" t="s">
        <v>6356</v>
      </c>
      <c r="AA665" t="s">
        <v>10652</v>
      </c>
      <c r="AB665" t="s">
        <v>10653</v>
      </c>
      <c r="AC665" t="s">
        <v>6359</v>
      </c>
      <c r="AD665" t="s">
        <v>140</v>
      </c>
      <c r="AE665" t="s">
        <v>74</v>
      </c>
      <c r="AF665" t="s">
        <v>74</v>
      </c>
      <c r="AG665">
        <v>123</v>
      </c>
      <c r="AH665">
        <v>50</v>
      </c>
      <c r="AI665">
        <v>59</v>
      </c>
      <c r="AJ665">
        <v>2</v>
      </c>
      <c r="AK665">
        <v>27</v>
      </c>
      <c r="AL665" t="s">
        <v>10624</v>
      </c>
      <c r="AM665" t="s">
        <v>10625</v>
      </c>
      <c r="AN665" t="s">
        <v>10626</v>
      </c>
      <c r="AO665" t="s">
        <v>10627</v>
      </c>
      <c r="AP665" t="s">
        <v>10654</v>
      </c>
      <c r="AQ665" t="s">
        <v>74</v>
      </c>
      <c r="AR665" t="s">
        <v>10628</v>
      </c>
      <c r="AS665" t="s">
        <v>10629</v>
      </c>
      <c r="AT665" t="s">
        <v>9849</v>
      </c>
      <c r="AU665">
        <v>2007</v>
      </c>
      <c r="AV665">
        <v>12</v>
      </c>
      <c r="AW665">
        <v>1</v>
      </c>
      <c r="AX665" t="s">
        <v>74</v>
      </c>
      <c r="AY665" t="s">
        <v>74</v>
      </c>
      <c r="AZ665" t="s">
        <v>74</v>
      </c>
      <c r="BA665" t="s">
        <v>74</v>
      </c>
      <c r="BB665">
        <v>47</v>
      </c>
      <c r="BC665">
        <v>62</v>
      </c>
      <c r="BD665" t="s">
        <v>74</v>
      </c>
      <c r="BE665" t="s">
        <v>10655</v>
      </c>
      <c r="BF665" t="str">
        <f>HYPERLINK("http://dx.doi.org/10.2113/JEEG12.1.47","http://dx.doi.org/10.2113/JEEG12.1.47")</f>
        <v>http://dx.doi.org/10.2113/JEEG12.1.47</v>
      </c>
      <c r="BG665" t="s">
        <v>74</v>
      </c>
      <c r="BH665" t="s">
        <v>74</v>
      </c>
      <c r="BI665">
        <v>16</v>
      </c>
      <c r="BJ665" t="s">
        <v>10631</v>
      </c>
      <c r="BK665" t="s">
        <v>535</v>
      </c>
      <c r="BL665" t="s">
        <v>10632</v>
      </c>
      <c r="BM665" t="s">
        <v>10633</v>
      </c>
      <c r="BN665" t="s">
        <v>74</v>
      </c>
      <c r="BO665" t="s">
        <v>1249</v>
      </c>
      <c r="BP665" t="s">
        <v>74</v>
      </c>
      <c r="BQ665" t="s">
        <v>74</v>
      </c>
      <c r="BR665" t="s">
        <v>101</v>
      </c>
      <c r="BS665" t="s">
        <v>10656</v>
      </c>
      <c r="BT665" t="str">
        <f>HYPERLINK("https%3A%2F%2Fwww.webofscience.com%2Fwos%2Fwoscc%2Ffull-record%2FWOS:000245778100006","View Full Record in Web of Science")</f>
        <v>View Full Record in Web of Science</v>
      </c>
    </row>
    <row r="666" spans="1:72" x14ac:dyDescent="0.15">
      <c r="A666" t="s">
        <v>72</v>
      </c>
      <c r="B666" t="s">
        <v>10657</v>
      </c>
      <c r="C666" t="s">
        <v>74</v>
      </c>
      <c r="D666" t="s">
        <v>74</v>
      </c>
      <c r="E666" t="s">
        <v>74</v>
      </c>
      <c r="F666" t="s">
        <v>10658</v>
      </c>
      <c r="G666" t="s">
        <v>74</v>
      </c>
      <c r="H666" t="s">
        <v>74</v>
      </c>
      <c r="I666" t="s">
        <v>10659</v>
      </c>
      <c r="J666" t="s">
        <v>10616</v>
      </c>
      <c r="K666" t="s">
        <v>74</v>
      </c>
      <c r="L666" t="s">
        <v>74</v>
      </c>
      <c r="M666" t="s">
        <v>78</v>
      </c>
      <c r="N666" t="s">
        <v>514</v>
      </c>
      <c r="O666" t="s">
        <v>10617</v>
      </c>
      <c r="P666" t="s">
        <v>10618</v>
      </c>
      <c r="Q666" t="s">
        <v>10619</v>
      </c>
      <c r="R666" t="s">
        <v>74</v>
      </c>
      <c r="S666" t="s">
        <v>10620</v>
      </c>
      <c r="T666" t="s">
        <v>74</v>
      </c>
      <c r="U666" t="s">
        <v>10660</v>
      </c>
      <c r="V666" t="s">
        <v>10661</v>
      </c>
      <c r="W666" t="s">
        <v>10662</v>
      </c>
      <c r="X666" t="s">
        <v>10663</v>
      </c>
      <c r="Y666" t="s">
        <v>10664</v>
      </c>
      <c r="Z666" t="s">
        <v>10665</v>
      </c>
      <c r="AA666" t="s">
        <v>10666</v>
      </c>
      <c r="AB666" t="s">
        <v>10667</v>
      </c>
      <c r="AC666" t="s">
        <v>4770</v>
      </c>
      <c r="AD666" t="s">
        <v>140</v>
      </c>
      <c r="AE666" t="s">
        <v>74</v>
      </c>
      <c r="AF666" t="s">
        <v>74</v>
      </c>
      <c r="AG666">
        <v>12</v>
      </c>
      <c r="AH666">
        <v>2</v>
      </c>
      <c r="AI666">
        <v>2</v>
      </c>
      <c r="AJ666">
        <v>0</v>
      </c>
      <c r="AK666">
        <v>6</v>
      </c>
      <c r="AL666" t="s">
        <v>10641</v>
      </c>
      <c r="AM666" t="s">
        <v>10625</v>
      </c>
      <c r="AN666" t="s">
        <v>10626</v>
      </c>
      <c r="AO666" t="s">
        <v>10627</v>
      </c>
      <c r="AP666" t="s">
        <v>74</v>
      </c>
      <c r="AQ666" t="s">
        <v>74</v>
      </c>
      <c r="AR666" t="s">
        <v>10628</v>
      </c>
      <c r="AS666" t="s">
        <v>10629</v>
      </c>
      <c r="AT666" t="s">
        <v>9849</v>
      </c>
      <c r="AU666">
        <v>2007</v>
      </c>
      <c r="AV666">
        <v>12</v>
      </c>
      <c r="AW666">
        <v>1</v>
      </c>
      <c r="AX666" t="s">
        <v>74</v>
      </c>
      <c r="AY666" t="s">
        <v>74</v>
      </c>
      <c r="AZ666" t="s">
        <v>74</v>
      </c>
      <c r="BA666" t="s">
        <v>74</v>
      </c>
      <c r="BB666">
        <v>63</v>
      </c>
      <c r="BC666">
        <v>67</v>
      </c>
      <c r="BD666" t="s">
        <v>74</v>
      </c>
      <c r="BE666" t="s">
        <v>10668</v>
      </c>
      <c r="BF666" t="str">
        <f>HYPERLINK("http://dx.doi.org/10.2113/JEEG12.1.63","http://dx.doi.org/10.2113/JEEG12.1.63")</f>
        <v>http://dx.doi.org/10.2113/JEEG12.1.63</v>
      </c>
      <c r="BG666" t="s">
        <v>74</v>
      </c>
      <c r="BH666" t="s">
        <v>74</v>
      </c>
      <c r="BI666">
        <v>5</v>
      </c>
      <c r="BJ666" t="s">
        <v>10631</v>
      </c>
      <c r="BK666" t="s">
        <v>745</v>
      </c>
      <c r="BL666" t="s">
        <v>10632</v>
      </c>
      <c r="BM666" t="s">
        <v>10633</v>
      </c>
      <c r="BN666" t="s">
        <v>74</v>
      </c>
      <c r="BO666" t="s">
        <v>74</v>
      </c>
      <c r="BP666" t="s">
        <v>74</v>
      </c>
      <c r="BQ666" t="s">
        <v>74</v>
      </c>
      <c r="BR666" t="s">
        <v>101</v>
      </c>
      <c r="BS666" t="s">
        <v>10669</v>
      </c>
      <c r="BT666" t="str">
        <f>HYPERLINK("https%3A%2F%2Fwww.webofscience.com%2Fwos%2Fwoscc%2Ffull-record%2FWOS:000245778100007","View Full Record in Web of Science")</f>
        <v>View Full Record in Web of Science</v>
      </c>
    </row>
    <row r="667" spans="1:72" x14ac:dyDescent="0.15">
      <c r="A667" t="s">
        <v>72</v>
      </c>
      <c r="B667" t="s">
        <v>10670</v>
      </c>
      <c r="C667" t="s">
        <v>74</v>
      </c>
      <c r="D667" t="s">
        <v>74</v>
      </c>
      <c r="E667" t="s">
        <v>74</v>
      </c>
      <c r="F667" t="s">
        <v>10671</v>
      </c>
      <c r="G667" t="s">
        <v>74</v>
      </c>
      <c r="H667" t="s">
        <v>74</v>
      </c>
      <c r="I667" t="s">
        <v>10672</v>
      </c>
      <c r="J667" t="s">
        <v>10673</v>
      </c>
      <c r="K667" t="s">
        <v>74</v>
      </c>
      <c r="L667" t="s">
        <v>74</v>
      </c>
      <c r="M667" t="s">
        <v>78</v>
      </c>
      <c r="N667" t="s">
        <v>52</v>
      </c>
      <c r="O667" t="s">
        <v>74</v>
      </c>
      <c r="P667" t="s">
        <v>74</v>
      </c>
      <c r="Q667" t="s">
        <v>74</v>
      </c>
      <c r="R667" t="s">
        <v>74</v>
      </c>
      <c r="S667" t="s">
        <v>74</v>
      </c>
      <c r="T667" t="s">
        <v>74</v>
      </c>
      <c r="U667" t="s">
        <v>74</v>
      </c>
      <c r="V667" t="s">
        <v>74</v>
      </c>
      <c r="W667" t="s">
        <v>10674</v>
      </c>
      <c r="X667" t="s">
        <v>10675</v>
      </c>
      <c r="Y667" t="s">
        <v>74</v>
      </c>
      <c r="Z667" t="s">
        <v>74</v>
      </c>
      <c r="AA667" t="s">
        <v>74</v>
      </c>
      <c r="AB667" t="s">
        <v>74</v>
      </c>
      <c r="AC667" t="s">
        <v>74</v>
      </c>
      <c r="AD667" t="s">
        <v>74</v>
      </c>
      <c r="AE667" t="s">
        <v>74</v>
      </c>
      <c r="AF667" t="s">
        <v>74</v>
      </c>
      <c r="AG667">
        <v>0</v>
      </c>
      <c r="AH667">
        <v>0</v>
      </c>
      <c r="AI667">
        <v>0</v>
      </c>
      <c r="AJ667">
        <v>0</v>
      </c>
      <c r="AK667">
        <v>1</v>
      </c>
      <c r="AL667" t="s">
        <v>3589</v>
      </c>
      <c r="AM667" t="s">
        <v>1504</v>
      </c>
      <c r="AN667" t="s">
        <v>3590</v>
      </c>
      <c r="AO667" t="s">
        <v>10676</v>
      </c>
      <c r="AP667" t="s">
        <v>74</v>
      </c>
      <c r="AQ667" t="s">
        <v>74</v>
      </c>
      <c r="AR667" t="s">
        <v>10677</v>
      </c>
      <c r="AS667" t="s">
        <v>10678</v>
      </c>
      <c r="AT667" t="s">
        <v>9841</v>
      </c>
      <c r="AU667">
        <v>2007</v>
      </c>
      <c r="AV667">
        <v>54</v>
      </c>
      <c r="AW667">
        <v>2</v>
      </c>
      <c r="AX667" t="s">
        <v>74</v>
      </c>
      <c r="AY667" t="s">
        <v>74</v>
      </c>
      <c r="AZ667" t="s">
        <v>74</v>
      </c>
      <c r="BA667" t="s">
        <v>74</v>
      </c>
      <c r="BB667" t="s">
        <v>10679</v>
      </c>
      <c r="BC667" t="s">
        <v>10679</v>
      </c>
      <c r="BD667" t="s">
        <v>74</v>
      </c>
      <c r="BE667" t="s">
        <v>74</v>
      </c>
      <c r="BF667" t="s">
        <v>74</v>
      </c>
      <c r="BG667" t="s">
        <v>74</v>
      </c>
      <c r="BH667" t="s">
        <v>74</v>
      </c>
      <c r="BI667">
        <v>1</v>
      </c>
      <c r="BJ667" t="s">
        <v>1722</v>
      </c>
      <c r="BK667" t="s">
        <v>98</v>
      </c>
      <c r="BL667" t="s">
        <v>1722</v>
      </c>
      <c r="BM667" t="s">
        <v>10680</v>
      </c>
      <c r="BN667" t="s">
        <v>74</v>
      </c>
      <c r="BO667" t="s">
        <v>74</v>
      </c>
      <c r="BP667" t="s">
        <v>74</v>
      </c>
      <c r="BQ667" t="s">
        <v>74</v>
      </c>
      <c r="BR667" t="s">
        <v>101</v>
      </c>
      <c r="BS667" t="s">
        <v>10681</v>
      </c>
      <c r="BT667" t="str">
        <f>HYPERLINK("https%3A%2F%2Fwww.webofscience.com%2Fwos%2Fwoscc%2Ffull-record%2FWOS:000245312600020","View Full Record in Web of Science")</f>
        <v>View Full Record in Web of Science</v>
      </c>
    </row>
    <row r="668" spans="1:72" x14ac:dyDescent="0.15">
      <c r="A668" t="s">
        <v>72</v>
      </c>
      <c r="B668" t="s">
        <v>10682</v>
      </c>
      <c r="C668" t="s">
        <v>74</v>
      </c>
      <c r="D668" t="s">
        <v>74</v>
      </c>
      <c r="E668" t="s">
        <v>74</v>
      </c>
      <c r="F668" t="s">
        <v>10683</v>
      </c>
      <c r="G668" t="s">
        <v>74</v>
      </c>
      <c r="H668" t="s">
        <v>74</v>
      </c>
      <c r="I668" t="s">
        <v>10684</v>
      </c>
      <c r="J668" t="s">
        <v>10673</v>
      </c>
      <c r="K668" t="s">
        <v>74</v>
      </c>
      <c r="L668" t="s">
        <v>74</v>
      </c>
      <c r="M668" t="s">
        <v>78</v>
      </c>
      <c r="N668" t="s">
        <v>52</v>
      </c>
      <c r="O668" t="s">
        <v>74</v>
      </c>
      <c r="P668" t="s">
        <v>74</v>
      </c>
      <c r="Q668" t="s">
        <v>74</v>
      </c>
      <c r="R668" t="s">
        <v>74</v>
      </c>
      <c r="S668" t="s">
        <v>74</v>
      </c>
      <c r="T668" t="s">
        <v>74</v>
      </c>
      <c r="U668" t="s">
        <v>74</v>
      </c>
      <c r="V668" t="s">
        <v>74</v>
      </c>
      <c r="W668" t="s">
        <v>10685</v>
      </c>
      <c r="X668" t="s">
        <v>10686</v>
      </c>
      <c r="Y668" t="s">
        <v>74</v>
      </c>
      <c r="Z668" t="s">
        <v>74</v>
      </c>
      <c r="AA668" t="s">
        <v>74</v>
      </c>
      <c r="AB668" t="s">
        <v>74</v>
      </c>
      <c r="AC668" t="s">
        <v>74</v>
      </c>
      <c r="AD668" t="s">
        <v>74</v>
      </c>
      <c r="AE668" t="s">
        <v>74</v>
      </c>
      <c r="AF668" t="s">
        <v>74</v>
      </c>
      <c r="AG668">
        <v>0</v>
      </c>
      <c r="AH668">
        <v>0</v>
      </c>
      <c r="AI668">
        <v>0</v>
      </c>
      <c r="AJ668">
        <v>0</v>
      </c>
      <c r="AK668">
        <v>2</v>
      </c>
      <c r="AL668" t="s">
        <v>3589</v>
      </c>
      <c r="AM668" t="s">
        <v>1504</v>
      </c>
      <c r="AN668" t="s">
        <v>3590</v>
      </c>
      <c r="AO668" t="s">
        <v>10676</v>
      </c>
      <c r="AP668" t="s">
        <v>74</v>
      </c>
      <c r="AQ668" t="s">
        <v>74</v>
      </c>
      <c r="AR668" t="s">
        <v>10677</v>
      </c>
      <c r="AS668" t="s">
        <v>10678</v>
      </c>
      <c r="AT668" t="s">
        <v>9841</v>
      </c>
      <c r="AU668">
        <v>2007</v>
      </c>
      <c r="AV668">
        <v>54</v>
      </c>
      <c r="AW668">
        <v>2</v>
      </c>
      <c r="AX668" t="s">
        <v>74</v>
      </c>
      <c r="AY668" t="s">
        <v>74</v>
      </c>
      <c r="AZ668" t="s">
        <v>74</v>
      </c>
      <c r="BA668" t="s">
        <v>74</v>
      </c>
      <c r="BB668" t="s">
        <v>10687</v>
      </c>
      <c r="BC668" t="s">
        <v>10687</v>
      </c>
      <c r="BD668" t="s">
        <v>74</v>
      </c>
      <c r="BE668" t="s">
        <v>74</v>
      </c>
      <c r="BF668" t="s">
        <v>74</v>
      </c>
      <c r="BG668" t="s">
        <v>74</v>
      </c>
      <c r="BH668" t="s">
        <v>74</v>
      </c>
      <c r="BI668">
        <v>1</v>
      </c>
      <c r="BJ668" t="s">
        <v>1722</v>
      </c>
      <c r="BK668" t="s">
        <v>98</v>
      </c>
      <c r="BL668" t="s">
        <v>1722</v>
      </c>
      <c r="BM668" t="s">
        <v>10680</v>
      </c>
      <c r="BN668" t="s">
        <v>74</v>
      </c>
      <c r="BO668" t="s">
        <v>74</v>
      </c>
      <c r="BP668" t="s">
        <v>74</v>
      </c>
      <c r="BQ668" t="s">
        <v>74</v>
      </c>
      <c r="BR668" t="s">
        <v>101</v>
      </c>
      <c r="BS668" t="s">
        <v>10688</v>
      </c>
      <c r="BT668" t="str">
        <f>HYPERLINK("https%3A%2F%2Fwww.webofscience.com%2Fwos%2Fwoscc%2Ffull-record%2FWOS:000245312600029","View Full Record in Web of Science")</f>
        <v>View Full Record in Web of Science</v>
      </c>
    </row>
    <row r="669" spans="1:72" x14ac:dyDescent="0.15">
      <c r="A669" t="s">
        <v>72</v>
      </c>
      <c r="B669" t="s">
        <v>10689</v>
      </c>
      <c r="C669" t="s">
        <v>74</v>
      </c>
      <c r="D669" t="s">
        <v>74</v>
      </c>
      <c r="E669" t="s">
        <v>74</v>
      </c>
      <c r="F669" t="s">
        <v>10690</v>
      </c>
      <c r="G669" t="s">
        <v>74</v>
      </c>
      <c r="H669" t="s">
        <v>74</v>
      </c>
      <c r="I669" t="s">
        <v>10691</v>
      </c>
      <c r="J669" t="s">
        <v>10673</v>
      </c>
      <c r="K669" t="s">
        <v>74</v>
      </c>
      <c r="L669" t="s">
        <v>74</v>
      </c>
      <c r="M669" t="s">
        <v>78</v>
      </c>
      <c r="N669" t="s">
        <v>79</v>
      </c>
      <c r="O669" t="s">
        <v>74</v>
      </c>
      <c r="P669" t="s">
        <v>74</v>
      </c>
      <c r="Q669" t="s">
        <v>74</v>
      </c>
      <c r="R669" t="s">
        <v>74</v>
      </c>
      <c r="S669" t="s">
        <v>74</v>
      </c>
      <c r="T669" t="s">
        <v>10692</v>
      </c>
      <c r="U669" t="s">
        <v>10693</v>
      </c>
      <c r="V669" t="s">
        <v>10694</v>
      </c>
      <c r="W669" t="s">
        <v>10695</v>
      </c>
      <c r="X669" t="s">
        <v>10696</v>
      </c>
      <c r="Y669" t="s">
        <v>74</v>
      </c>
      <c r="Z669" t="s">
        <v>10697</v>
      </c>
      <c r="AA669" t="s">
        <v>74</v>
      </c>
      <c r="AB669" t="s">
        <v>10698</v>
      </c>
      <c r="AC669" t="s">
        <v>74</v>
      </c>
      <c r="AD669" t="s">
        <v>74</v>
      </c>
      <c r="AE669" t="s">
        <v>74</v>
      </c>
      <c r="AF669" t="s">
        <v>74</v>
      </c>
      <c r="AG669">
        <v>48</v>
      </c>
      <c r="AH669">
        <v>38</v>
      </c>
      <c r="AI669">
        <v>42</v>
      </c>
      <c r="AJ669">
        <v>0</v>
      </c>
      <c r="AK669">
        <v>4</v>
      </c>
      <c r="AL669" t="s">
        <v>1202</v>
      </c>
      <c r="AM669" t="s">
        <v>1203</v>
      </c>
      <c r="AN669" t="s">
        <v>1204</v>
      </c>
      <c r="AO669" t="s">
        <v>10676</v>
      </c>
      <c r="AP669" t="s">
        <v>10699</v>
      </c>
      <c r="AQ669" t="s">
        <v>74</v>
      </c>
      <c r="AR669" t="s">
        <v>10677</v>
      </c>
      <c r="AS669" t="s">
        <v>10678</v>
      </c>
      <c r="AT669" t="s">
        <v>9841</v>
      </c>
      <c r="AU669">
        <v>2007</v>
      </c>
      <c r="AV669">
        <v>54</v>
      </c>
      <c r="AW669">
        <v>2</v>
      </c>
      <c r="AX669" t="s">
        <v>74</v>
      </c>
      <c r="AY669" t="s">
        <v>74</v>
      </c>
      <c r="AZ669" t="s">
        <v>74</v>
      </c>
      <c r="BA669" t="s">
        <v>74</v>
      </c>
      <c r="BB669">
        <v>169</v>
      </c>
      <c r="BC669">
        <v>183</v>
      </c>
      <c r="BD669" t="s">
        <v>74</v>
      </c>
      <c r="BE669" t="s">
        <v>10700</v>
      </c>
      <c r="BF669" t="str">
        <f>HYPERLINK("http://dx.doi.org/10.1111/j.1550-7408.2007.00249.x","http://dx.doi.org/10.1111/j.1550-7408.2007.00249.x")</f>
        <v>http://dx.doi.org/10.1111/j.1550-7408.2007.00249.x</v>
      </c>
      <c r="BG669" t="s">
        <v>74</v>
      </c>
      <c r="BH669" t="s">
        <v>74</v>
      </c>
      <c r="BI669">
        <v>15</v>
      </c>
      <c r="BJ669" t="s">
        <v>1722</v>
      </c>
      <c r="BK669" t="s">
        <v>98</v>
      </c>
      <c r="BL669" t="s">
        <v>1722</v>
      </c>
      <c r="BM669" t="s">
        <v>10680</v>
      </c>
      <c r="BN669">
        <v>17403158</v>
      </c>
      <c r="BO669" t="s">
        <v>74</v>
      </c>
      <c r="BP669" t="s">
        <v>74</v>
      </c>
      <c r="BQ669" t="s">
        <v>74</v>
      </c>
      <c r="BR669" t="s">
        <v>101</v>
      </c>
      <c r="BS669" t="s">
        <v>10701</v>
      </c>
      <c r="BT669" t="str">
        <f>HYPERLINK("https%3A%2F%2Fwww.webofscience.com%2Fwos%2Fwoscc%2Ffull-record%2FWOS:000245312600188","View Full Record in Web of Science")</f>
        <v>View Full Record in Web of Science</v>
      </c>
    </row>
    <row r="670" spans="1:72" x14ac:dyDescent="0.15">
      <c r="A670" t="s">
        <v>72</v>
      </c>
      <c r="B670" t="s">
        <v>10702</v>
      </c>
      <c r="C670" t="s">
        <v>74</v>
      </c>
      <c r="D670" t="s">
        <v>74</v>
      </c>
      <c r="E670" t="s">
        <v>74</v>
      </c>
      <c r="F670" t="s">
        <v>10703</v>
      </c>
      <c r="G670" t="s">
        <v>74</v>
      </c>
      <c r="H670" t="s">
        <v>74</v>
      </c>
      <c r="I670" t="s">
        <v>10704</v>
      </c>
      <c r="J670" t="s">
        <v>779</v>
      </c>
      <c r="K670" t="s">
        <v>74</v>
      </c>
      <c r="L670" t="s">
        <v>74</v>
      </c>
      <c r="M670" t="s">
        <v>78</v>
      </c>
      <c r="N670" t="s">
        <v>79</v>
      </c>
      <c r="O670" t="s">
        <v>74</v>
      </c>
      <c r="P670" t="s">
        <v>74</v>
      </c>
      <c r="Q670" t="s">
        <v>74</v>
      </c>
      <c r="R670" t="s">
        <v>74</v>
      </c>
      <c r="S670" t="s">
        <v>74</v>
      </c>
      <c r="T670" t="s">
        <v>10705</v>
      </c>
      <c r="U670" t="s">
        <v>10706</v>
      </c>
      <c r="V670" t="s">
        <v>10707</v>
      </c>
      <c r="W670" t="s">
        <v>10708</v>
      </c>
      <c r="X670" t="s">
        <v>10709</v>
      </c>
      <c r="Y670" t="s">
        <v>10710</v>
      </c>
      <c r="Z670" t="s">
        <v>10711</v>
      </c>
      <c r="AA670" t="s">
        <v>10712</v>
      </c>
      <c r="AB670" t="s">
        <v>10713</v>
      </c>
      <c r="AC670" t="s">
        <v>74</v>
      </c>
      <c r="AD670" t="s">
        <v>74</v>
      </c>
      <c r="AE670" t="s">
        <v>74</v>
      </c>
      <c r="AF670" t="s">
        <v>74</v>
      </c>
      <c r="AG670">
        <v>44</v>
      </c>
      <c r="AH670">
        <v>24</v>
      </c>
      <c r="AI670">
        <v>33</v>
      </c>
      <c r="AJ670">
        <v>1</v>
      </c>
      <c r="AK670">
        <v>19</v>
      </c>
      <c r="AL670" t="s">
        <v>787</v>
      </c>
      <c r="AM670" t="s">
        <v>788</v>
      </c>
      <c r="AN670" t="s">
        <v>789</v>
      </c>
      <c r="AO670" t="s">
        <v>790</v>
      </c>
      <c r="AP670" t="s">
        <v>74</v>
      </c>
      <c r="AQ670" t="s">
        <v>74</v>
      </c>
      <c r="AR670" t="s">
        <v>791</v>
      </c>
      <c r="AS670" t="s">
        <v>792</v>
      </c>
      <c r="AT670" t="s">
        <v>10714</v>
      </c>
      <c r="AU670">
        <v>2007</v>
      </c>
      <c r="AV670">
        <v>210</v>
      </c>
      <c r="AW670">
        <v>5</v>
      </c>
      <c r="AX670" t="s">
        <v>74</v>
      </c>
      <c r="AY670" t="s">
        <v>74</v>
      </c>
      <c r="AZ670" t="s">
        <v>74</v>
      </c>
      <c r="BA670" t="s">
        <v>74</v>
      </c>
      <c r="BB670">
        <v>815</v>
      </c>
      <c r="BC670">
        <v>824</v>
      </c>
      <c r="BD670" t="s">
        <v>74</v>
      </c>
      <c r="BE670" t="s">
        <v>10715</v>
      </c>
      <c r="BF670" t="str">
        <f>HYPERLINK("http://dx.doi.org/10.1242/jeb.001867","http://dx.doi.org/10.1242/jeb.001867")</f>
        <v>http://dx.doi.org/10.1242/jeb.001867</v>
      </c>
      <c r="BG670" t="s">
        <v>74</v>
      </c>
      <c r="BH670" t="s">
        <v>74</v>
      </c>
      <c r="BI670">
        <v>10</v>
      </c>
      <c r="BJ670" t="s">
        <v>794</v>
      </c>
      <c r="BK670" t="s">
        <v>98</v>
      </c>
      <c r="BL670" t="s">
        <v>795</v>
      </c>
      <c r="BM670" t="s">
        <v>10716</v>
      </c>
      <c r="BN670">
        <v>17297141</v>
      </c>
      <c r="BO670" t="s">
        <v>154</v>
      </c>
      <c r="BP670" t="s">
        <v>74</v>
      </c>
      <c r="BQ670" t="s">
        <v>74</v>
      </c>
      <c r="BR670" t="s">
        <v>101</v>
      </c>
      <c r="BS670" t="s">
        <v>10717</v>
      </c>
      <c r="BT670" t="str">
        <f>HYPERLINK("https%3A%2F%2Fwww.webofscience.com%2Fwos%2Fwoscc%2Ffull-record%2FWOS:000244633000016","View Full Record in Web of Science")</f>
        <v>View Full Record in Web of Science</v>
      </c>
    </row>
    <row r="671" spans="1:72" x14ac:dyDescent="0.15">
      <c r="A671" t="s">
        <v>72</v>
      </c>
      <c r="B671" t="s">
        <v>10718</v>
      </c>
      <c r="C671" t="s">
        <v>74</v>
      </c>
      <c r="D671" t="s">
        <v>74</v>
      </c>
      <c r="E671" t="s">
        <v>74</v>
      </c>
      <c r="F671" t="s">
        <v>10719</v>
      </c>
      <c r="G671" t="s">
        <v>74</v>
      </c>
      <c r="H671" t="s">
        <v>74</v>
      </c>
      <c r="I671" t="s">
        <v>10720</v>
      </c>
      <c r="J671" t="s">
        <v>779</v>
      </c>
      <c r="K671" t="s">
        <v>74</v>
      </c>
      <c r="L671" t="s">
        <v>74</v>
      </c>
      <c r="M671" t="s">
        <v>78</v>
      </c>
      <c r="N671" t="s">
        <v>79</v>
      </c>
      <c r="O671" t="s">
        <v>74</v>
      </c>
      <c r="P671" t="s">
        <v>74</v>
      </c>
      <c r="Q671" t="s">
        <v>74</v>
      </c>
      <c r="R671" t="s">
        <v>74</v>
      </c>
      <c r="S671" t="s">
        <v>74</v>
      </c>
      <c r="T671" t="s">
        <v>10721</v>
      </c>
      <c r="U671" t="s">
        <v>10722</v>
      </c>
      <c r="V671" t="s">
        <v>10723</v>
      </c>
      <c r="W671" t="s">
        <v>10724</v>
      </c>
      <c r="X671" t="s">
        <v>10725</v>
      </c>
      <c r="Y671" t="s">
        <v>10726</v>
      </c>
      <c r="Z671" t="s">
        <v>10727</v>
      </c>
      <c r="AA671" t="s">
        <v>74</v>
      </c>
      <c r="AB671" t="s">
        <v>10728</v>
      </c>
      <c r="AC671" t="s">
        <v>74</v>
      </c>
      <c r="AD671" t="s">
        <v>74</v>
      </c>
      <c r="AE671" t="s">
        <v>74</v>
      </c>
      <c r="AF671" t="s">
        <v>74</v>
      </c>
      <c r="AG671">
        <v>57</v>
      </c>
      <c r="AH671">
        <v>74</v>
      </c>
      <c r="AI671">
        <v>81</v>
      </c>
      <c r="AJ671">
        <v>0</v>
      </c>
      <c r="AK671">
        <v>35</v>
      </c>
      <c r="AL671" t="s">
        <v>1993</v>
      </c>
      <c r="AM671" t="s">
        <v>788</v>
      </c>
      <c r="AN671" t="s">
        <v>1994</v>
      </c>
      <c r="AO671" t="s">
        <v>790</v>
      </c>
      <c r="AP671" t="s">
        <v>1995</v>
      </c>
      <c r="AQ671" t="s">
        <v>74</v>
      </c>
      <c r="AR671" t="s">
        <v>791</v>
      </c>
      <c r="AS671" t="s">
        <v>792</v>
      </c>
      <c r="AT671" t="s">
        <v>10714</v>
      </c>
      <c r="AU671">
        <v>2007</v>
      </c>
      <c r="AV671">
        <v>210</v>
      </c>
      <c r="AW671">
        <v>5</v>
      </c>
      <c r="AX671" t="s">
        <v>74</v>
      </c>
      <c r="AY671" t="s">
        <v>74</v>
      </c>
      <c r="AZ671" t="s">
        <v>74</v>
      </c>
      <c r="BA671" t="s">
        <v>74</v>
      </c>
      <c r="BB671">
        <v>836</v>
      </c>
      <c r="BC671">
        <v>844</v>
      </c>
      <c r="BD671" t="s">
        <v>74</v>
      </c>
      <c r="BE671" t="s">
        <v>10729</v>
      </c>
      <c r="BF671" t="str">
        <f>HYPERLINK("http://dx.doi.org/10.1242/jeb.02714","http://dx.doi.org/10.1242/jeb.02714")</f>
        <v>http://dx.doi.org/10.1242/jeb.02714</v>
      </c>
      <c r="BG671" t="s">
        <v>74</v>
      </c>
      <c r="BH671" t="s">
        <v>74</v>
      </c>
      <c r="BI671">
        <v>9</v>
      </c>
      <c r="BJ671" t="s">
        <v>794</v>
      </c>
      <c r="BK671" t="s">
        <v>98</v>
      </c>
      <c r="BL671" t="s">
        <v>795</v>
      </c>
      <c r="BM671" t="s">
        <v>10716</v>
      </c>
      <c r="BN671">
        <v>17297143</v>
      </c>
      <c r="BO671" t="s">
        <v>1289</v>
      </c>
      <c r="BP671" t="s">
        <v>74</v>
      </c>
      <c r="BQ671" t="s">
        <v>74</v>
      </c>
      <c r="BR671" t="s">
        <v>101</v>
      </c>
      <c r="BS671" t="s">
        <v>10730</v>
      </c>
      <c r="BT671" t="str">
        <f>HYPERLINK("https%3A%2F%2Fwww.webofscience.com%2Fwos%2Fwoscc%2Ffull-record%2FWOS:000244633000018","View Full Record in Web of Science")</f>
        <v>View Full Record in Web of Science</v>
      </c>
    </row>
    <row r="672" spans="1:72" x14ac:dyDescent="0.15">
      <c r="A672" t="s">
        <v>72</v>
      </c>
      <c r="B672" t="s">
        <v>10731</v>
      </c>
      <c r="C672" t="s">
        <v>74</v>
      </c>
      <c r="D672" t="s">
        <v>74</v>
      </c>
      <c r="E672" t="s">
        <v>74</v>
      </c>
      <c r="F672" t="s">
        <v>10732</v>
      </c>
      <c r="G672" t="s">
        <v>74</v>
      </c>
      <c r="H672" t="s">
        <v>74</v>
      </c>
      <c r="I672" t="s">
        <v>10733</v>
      </c>
      <c r="J672" t="s">
        <v>10734</v>
      </c>
      <c r="K672" t="s">
        <v>74</v>
      </c>
      <c r="L672" t="s">
        <v>74</v>
      </c>
      <c r="M672" t="s">
        <v>78</v>
      </c>
      <c r="N672" t="s">
        <v>79</v>
      </c>
      <c r="O672" t="s">
        <v>74</v>
      </c>
      <c r="P672" t="s">
        <v>74</v>
      </c>
      <c r="Q672" t="s">
        <v>74</v>
      </c>
      <c r="R672" t="s">
        <v>74</v>
      </c>
      <c r="S672" t="s">
        <v>74</v>
      </c>
      <c r="T672" t="s">
        <v>74</v>
      </c>
      <c r="U672" t="s">
        <v>10735</v>
      </c>
      <c r="V672" t="s">
        <v>10736</v>
      </c>
      <c r="W672" t="s">
        <v>10737</v>
      </c>
      <c r="X672" t="s">
        <v>10738</v>
      </c>
      <c r="Y672" t="s">
        <v>10739</v>
      </c>
      <c r="Z672" t="s">
        <v>10740</v>
      </c>
      <c r="AA672" t="s">
        <v>74</v>
      </c>
      <c r="AB672" t="s">
        <v>10741</v>
      </c>
      <c r="AC672" t="s">
        <v>74</v>
      </c>
      <c r="AD672" t="s">
        <v>74</v>
      </c>
      <c r="AE672" t="s">
        <v>74</v>
      </c>
      <c r="AF672" t="s">
        <v>74</v>
      </c>
      <c r="AG672">
        <v>57</v>
      </c>
      <c r="AH672">
        <v>52</v>
      </c>
      <c r="AI672">
        <v>61</v>
      </c>
      <c r="AJ672">
        <v>1</v>
      </c>
      <c r="AK672">
        <v>33</v>
      </c>
      <c r="AL672" t="s">
        <v>10742</v>
      </c>
      <c r="AM672" t="s">
        <v>10743</v>
      </c>
      <c r="AN672" t="s">
        <v>10744</v>
      </c>
      <c r="AO672" t="s">
        <v>10745</v>
      </c>
      <c r="AP672" t="s">
        <v>10746</v>
      </c>
      <c r="AQ672" t="s">
        <v>74</v>
      </c>
      <c r="AR672" t="s">
        <v>10747</v>
      </c>
      <c r="AS672" t="s">
        <v>10748</v>
      </c>
      <c r="AT672" t="s">
        <v>9849</v>
      </c>
      <c r="AU672">
        <v>2007</v>
      </c>
      <c r="AV672">
        <v>98</v>
      </c>
      <c r="AW672">
        <v>2</v>
      </c>
      <c r="AX672" t="s">
        <v>74</v>
      </c>
      <c r="AY672" t="s">
        <v>74</v>
      </c>
      <c r="AZ672" t="s">
        <v>74</v>
      </c>
      <c r="BA672" t="s">
        <v>74</v>
      </c>
      <c r="BB672">
        <v>147</v>
      </c>
      <c r="BC672">
        <v>157</v>
      </c>
      <c r="BD672" t="s">
        <v>74</v>
      </c>
      <c r="BE672" t="s">
        <v>10749</v>
      </c>
      <c r="BF672" t="str">
        <f>HYPERLINK("http://dx.doi.org/10.1093/jhered/esm005","http://dx.doi.org/10.1093/jhered/esm005")</f>
        <v>http://dx.doi.org/10.1093/jhered/esm005</v>
      </c>
      <c r="BG672" t="s">
        <v>74</v>
      </c>
      <c r="BH672" t="s">
        <v>74</v>
      </c>
      <c r="BI672">
        <v>11</v>
      </c>
      <c r="BJ672" t="s">
        <v>1080</v>
      </c>
      <c r="BK672" t="s">
        <v>98</v>
      </c>
      <c r="BL672" t="s">
        <v>1080</v>
      </c>
      <c r="BM672" t="s">
        <v>10750</v>
      </c>
      <c r="BN672">
        <v>17416933</v>
      </c>
      <c r="BO672" t="s">
        <v>1289</v>
      </c>
      <c r="BP672" t="s">
        <v>74</v>
      </c>
      <c r="BQ672" t="s">
        <v>74</v>
      </c>
      <c r="BR672" t="s">
        <v>101</v>
      </c>
      <c r="BS672" t="s">
        <v>10751</v>
      </c>
      <c r="BT672" t="str">
        <f>HYPERLINK("https%3A%2F%2Fwww.webofscience.com%2Fwos%2Fwoscc%2Ffull-record%2FWOS:000246123000008","View Full Record in Web of Science")</f>
        <v>View Full Record in Web of Science</v>
      </c>
    </row>
    <row r="673" spans="1:72" x14ac:dyDescent="0.15">
      <c r="A673" t="s">
        <v>72</v>
      </c>
      <c r="B673" t="s">
        <v>10752</v>
      </c>
      <c r="C673" t="s">
        <v>74</v>
      </c>
      <c r="D673" t="s">
        <v>74</v>
      </c>
      <c r="E673" t="s">
        <v>74</v>
      </c>
      <c r="F673" t="s">
        <v>10753</v>
      </c>
      <c r="G673" t="s">
        <v>74</v>
      </c>
      <c r="H673" t="s">
        <v>74</v>
      </c>
      <c r="I673" t="s">
        <v>10754</v>
      </c>
      <c r="J673" t="s">
        <v>5709</v>
      </c>
      <c r="K673" t="s">
        <v>74</v>
      </c>
      <c r="L673" t="s">
        <v>74</v>
      </c>
      <c r="M673" t="s">
        <v>78</v>
      </c>
      <c r="N673" t="s">
        <v>514</v>
      </c>
      <c r="O673" t="s">
        <v>10755</v>
      </c>
      <c r="P673" t="s">
        <v>10756</v>
      </c>
      <c r="Q673" t="s">
        <v>10757</v>
      </c>
      <c r="R673" t="s">
        <v>74</v>
      </c>
      <c r="S673" t="s">
        <v>74</v>
      </c>
      <c r="T673" t="s">
        <v>10758</v>
      </c>
      <c r="U673" t="s">
        <v>10759</v>
      </c>
      <c r="V673" t="s">
        <v>10760</v>
      </c>
      <c r="W673" t="s">
        <v>10761</v>
      </c>
      <c r="X673" t="s">
        <v>10762</v>
      </c>
      <c r="Y673" t="s">
        <v>10763</v>
      </c>
      <c r="Z673" t="s">
        <v>10764</v>
      </c>
      <c r="AA673" t="s">
        <v>10765</v>
      </c>
      <c r="AB673" t="s">
        <v>74</v>
      </c>
      <c r="AC673" t="s">
        <v>74</v>
      </c>
      <c r="AD673" t="s">
        <v>74</v>
      </c>
      <c r="AE673" t="s">
        <v>74</v>
      </c>
      <c r="AF673" t="s">
        <v>74</v>
      </c>
      <c r="AG673">
        <v>52</v>
      </c>
      <c r="AH673">
        <v>21</v>
      </c>
      <c r="AI673">
        <v>21</v>
      </c>
      <c r="AJ673">
        <v>0</v>
      </c>
      <c r="AK673">
        <v>7</v>
      </c>
      <c r="AL673" t="s">
        <v>272</v>
      </c>
      <c r="AM673" t="s">
        <v>273</v>
      </c>
      <c r="AN673" t="s">
        <v>274</v>
      </c>
      <c r="AO673" t="s">
        <v>5722</v>
      </c>
      <c r="AP673" t="s">
        <v>5723</v>
      </c>
      <c r="AQ673" t="s">
        <v>74</v>
      </c>
      <c r="AR673" t="s">
        <v>5724</v>
      </c>
      <c r="AS673" t="s">
        <v>5725</v>
      </c>
      <c r="AT673" t="s">
        <v>9849</v>
      </c>
      <c r="AU673">
        <v>2007</v>
      </c>
      <c r="AV673">
        <v>65</v>
      </c>
      <c r="AW673" t="s">
        <v>4803</v>
      </c>
      <c r="AX673" t="s">
        <v>74</v>
      </c>
      <c r="AY673" t="s">
        <v>74</v>
      </c>
      <c r="AZ673" t="s">
        <v>74</v>
      </c>
      <c r="BA673" t="s">
        <v>74</v>
      </c>
      <c r="BB673">
        <v>540</v>
      </c>
      <c r="BC673">
        <v>560</v>
      </c>
      <c r="BD673" t="s">
        <v>74</v>
      </c>
      <c r="BE673" t="s">
        <v>10766</v>
      </c>
      <c r="BF673" t="str">
        <f>HYPERLINK("http://dx.doi.org/10.1016/j.jmarsys.2005.08.004","http://dx.doi.org/10.1016/j.jmarsys.2005.08.004")</f>
        <v>http://dx.doi.org/10.1016/j.jmarsys.2005.08.004</v>
      </c>
      <c r="BG673" t="s">
        <v>74</v>
      </c>
      <c r="BH673" t="s">
        <v>74</v>
      </c>
      <c r="BI673">
        <v>21</v>
      </c>
      <c r="BJ673" t="s">
        <v>5727</v>
      </c>
      <c r="BK673" t="s">
        <v>535</v>
      </c>
      <c r="BL673" t="s">
        <v>5728</v>
      </c>
      <c r="BM673" t="s">
        <v>10767</v>
      </c>
      <c r="BN673" t="s">
        <v>74</v>
      </c>
      <c r="BO673" t="s">
        <v>74</v>
      </c>
      <c r="BP673" t="s">
        <v>74</v>
      </c>
      <c r="BQ673" t="s">
        <v>74</v>
      </c>
      <c r="BR673" t="s">
        <v>101</v>
      </c>
      <c r="BS673" t="s">
        <v>10768</v>
      </c>
      <c r="BT673" t="str">
        <f>HYPERLINK("https%3A%2F%2Fwww.webofscience.com%2Fwos%2Fwoscc%2Ffull-record%2FWOS:000245003400031","View Full Record in Web of Science")</f>
        <v>View Full Record in Web of Science</v>
      </c>
    </row>
    <row r="674" spans="1:72" x14ac:dyDescent="0.15">
      <c r="A674" t="s">
        <v>72</v>
      </c>
      <c r="B674" t="s">
        <v>10769</v>
      </c>
      <c r="C674" t="s">
        <v>74</v>
      </c>
      <c r="D674" t="s">
        <v>74</v>
      </c>
      <c r="E674" t="s">
        <v>74</v>
      </c>
      <c r="F674" t="s">
        <v>10770</v>
      </c>
      <c r="G674" t="s">
        <v>74</v>
      </c>
      <c r="H674" t="s">
        <v>74</v>
      </c>
      <c r="I674" t="s">
        <v>10771</v>
      </c>
      <c r="J674" t="s">
        <v>10772</v>
      </c>
      <c r="K674" t="s">
        <v>74</v>
      </c>
      <c r="L674" t="s">
        <v>74</v>
      </c>
      <c r="M674" t="s">
        <v>78</v>
      </c>
      <c r="N674" t="s">
        <v>52</v>
      </c>
      <c r="O674" t="s">
        <v>74</v>
      </c>
      <c r="P674" t="s">
        <v>74</v>
      </c>
      <c r="Q674" t="s">
        <v>74</v>
      </c>
      <c r="R674" t="s">
        <v>74</v>
      </c>
      <c r="S674" t="s">
        <v>74</v>
      </c>
      <c r="T674" t="s">
        <v>74</v>
      </c>
      <c r="U674" t="s">
        <v>74</v>
      </c>
      <c r="V674" t="s">
        <v>74</v>
      </c>
      <c r="W674" t="s">
        <v>10773</v>
      </c>
      <c r="X674" t="s">
        <v>10774</v>
      </c>
      <c r="Y674" t="s">
        <v>74</v>
      </c>
      <c r="Z674" t="s">
        <v>74</v>
      </c>
      <c r="AA674" t="s">
        <v>10775</v>
      </c>
      <c r="AB674" t="s">
        <v>10776</v>
      </c>
      <c r="AC674" t="s">
        <v>74</v>
      </c>
      <c r="AD674" t="s">
        <v>74</v>
      </c>
      <c r="AE674" t="s">
        <v>74</v>
      </c>
      <c r="AF674" t="s">
        <v>74</v>
      </c>
      <c r="AG674">
        <v>0</v>
      </c>
      <c r="AH674">
        <v>0</v>
      </c>
      <c r="AI674">
        <v>0</v>
      </c>
      <c r="AJ674">
        <v>0</v>
      </c>
      <c r="AK674">
        <v>3</v>
      </c>
      <c r="AL674" t="s">
        <v>10777</v>
      </c>
      <c r="AM674" t="s">
        <v>10778</v>
      </c>
      <c r="AN674" t="s">
        <v>10779</v>
      </c>
      <c r="AO674" t="s">
        <v>10780</v>
      </c>
      <c r="AP674" t="s">
        <v>74</v>
      </c>
      <c r="AQ674" t="s">
        <v>74</v>
      </c>
      <c r="AR674" t="s">
        <v>10781</v>
      </c>
      <c r="AS674" t="s">
        <v>10782</v>
      </c>
      <c r="AT674" t="s">
        <v>9849</v>
      </c>
      <c r="AU674">
        <v>2007</v>
      </c>
      <c r="AV674">
        <v>39</v>
      </c>
      <c r="AW674">
        <v>1</v>
      </c>
      <c r="AX674" t="s">
        <v>74</v>
      </c>
      <c r="AY674" t="s">
        <v>74</v>
      </c>
      <c r="AZ674" t="s">
        <v>74</v>
      </c>
      <c r="BA674" t="s">
        <v>74</v>
      </c>
      <c r="BB674">
        <v>102</v>
      </c>
      <c r="BC674">
        <v>102</v>
      </c>
      <c r="BD674" t="s">
        <v>74</v>
      </c>
      <c r="BE674" t="s">
        <v>74</v>
      </c>
      <c r="BF674" t="s">
        <v>74</v>
      </c>
      <c r="BG674" t="s">
        <v>74</v>
      </c>
      <c r="BH674" t="s">
        <v>74</v>
      </c>
      <c r="BI674">
        <v>1</v>
      </c>
      <c r="BJ674" t="s">
        <v>507</v>
      </c>
      <c r="BK674" t="s">
        <v>98</v>
      </c>
      <c r="BL674" t="s">
        <v>507</v>
      </c>
      <c r="BM674" t="s">
        <v>10783</v>
      </c>
      <c r="BN674" t="s">
        <v>74</v>
      </c>
      <c r="BO674" t="s">
        <v>74</v>
      </c>
      <c r="BP674" t="s">
        <v>74</v>
      </c>
      <c r="BQ674" t="s">
        <v>74</v>
      </c>
      <c r="BR674" t="s">
        <v>101</v>
      </c>
      <c r="BS674" t="s">
        <v>10784</v>
      </c>
      <c r="BT674" t="str">
        <f>HYPERLINK("https%3A%2F%2Fwww.webofscience.com%2Fwos%2Fwoscc%2Ffull-record%2FWOS:000246640000142","View Full Record in Web of Science")</f>
        <v>View Full Record in Web of Science</v>
      </c>
    </row>
    <row r="675" spans="1:72" x14ac:dyDescent="0.15">
      <c r="A675" t="s">
        <v>72</v>
      </c>
      <c r="B675" t="s">
        <v>10785</v>
      </c>
      <c r="C675" t="s">
        <v>74</v>
      </c>
      <c r="D675" t="s">
        <v>74</v>
      </c>
      <c r="E675" t="s">
        <v>74</v>
      </c>
      <c r="F675" t="s">
        <v>10786</v>
      </c>
      <c r="G675" t="s">
        <v>74</v>
      </c>
      <c r="H675" t="s">
        <v>74</v>
      </c>
      <c r="I675" t="s">
        <v>10787</v>
      </c>
      <c r="J675" t="s">
        <v>2064</v>
      </c>
      <c r="K675" t="s">
        <v>74</v>
      </c>
      <c r="L675" t="s">
        <v>74</v>
      </c>
      <c r="M675" t="s">
        <v>78</v>
      </c>
      <c r="N675" t="s">
        <v>79</v>
      </c>
      <c r="O675" t="s">
        <v>74</v>
      </c>
      <c r="P675" t="s">
        <v>74</v>
      </c>
      <c r="Q675" t="s">
        <v>74</v>
      </c>
      <c r="R675" t="s">
        <v>74</v>
      </c>
      <c r="S675" t="s">
        <v>74</v>
      </c>
      <c r="T675" t="s">
        <v>74</v>
      </c>
      <c r="U675" t="s">
        <v>10788</v>
      </c>
      <c r="V675" t="s">
        <v>10789</v>
      </c>
      <c r="W675" t="s">
        <v>10790</v>
      </c>
      <c r="X675" t="s">
        <v>10791</v>
      </c>
      <c r="Y675" t="s">
        <v>10792</v>
      </c>
      <c r="Z675" t="s">
        <v>10793</v>
      </c>
      <c r="AA675" t="s">
        <v>3021</v>
      </c>
      <c r="AB675" t="s">
        <v>10794</v>
      </c>
      <c r="AC675" t="s">
        <v>74</v>
      </c>
      <c r="AD675" t="s">
        <v>74</v>
      </c>
      <c r="AE675" t="s">
        <v>74</v>
      </c>
      <c r="AF675" t="s">
        <v>74</v>
      </c>
      <c r="AG675">
        <v>63</v>
      </c>
      <c r="AH675">
        <v>53</v>
      </c>
      <c r="AI675">
        <v>64</v>
      </c>
      <c r="AJ675">
        <v>0</v>
      </c>
      <c r="AK675">
        <v>8</v>
      </c>
      <c r="AL675" t="s">
        <v>567</v>
      </c>
      <c r="AM675" t="s">
        <v>568</v>
      </c>
      <c r="AN675" t="s">
        <v>569</v>
      </c>
      <c r="AO675" t="s">
        <v>2071</v>
      </c>
      <c r="AP675" t="s">
        <v>2072</v>
      </c>
      <c r="AQ675" t="s">
        <v>74</v>
      </c>
      <c r="AR675" t="s">
        <v>2073</v>
      </c>
      <c r="AS675" t="s">
        <v>2074</v>
      </c>
      <c r="AT675" t="s">
        <v>9849</v>
      </c>
      <c r="AU675">
        <v>2007</v>
      </c>
      <c r="AV675">
        <v>37</v>
      </c>
      <c r="AW675">
        <v>3</v>
      </c>
      <c r="AX675" t="s">
        <v>74</v>
      </c>
      <c r="AY675" t="s">
        <v>74</v>
      </c>
      <c r="AZ675" t="s">
        <v>74</v>
      </c>
      <c r="BA675" t="s">
        <v>74</v>
      </c>
      <c r="BB675">
        <v>572</v>
      </c>
      <c r="BC675">
        <v>592</v>
      </c>
      <c r="BD675" t="s">
        <v>74</v>
      </c>
      <c r="BE675" t="s">
        <v>10795</v>
      </c>
      <c r="BF675" t="str">
        <f>HYPERLINK("http://dx.doi.org/10.1175/JPO3021.1","http://dx.doi.org/10.1175/JPO3021.1")</f>
        <v>http://dx.doi.org/10.1175/JPO3021.1</v>
      </c>
      <c r="BG675" t="s">
        <v>74</v>
      </c>
      <c r="BH675" t="s">
        <v>74</v>
      </c>
      <c r="BI675">
        <v>21</v>
      </c>
      <c r="BJ675" t="s">
        <v>221</v>
      </c>
      <c r="BK675" t="s">
        <v>98</v>
      </c>
      <c r="BL675" t="s">
        <v>221</v>
      </c>
      <c r="BM675" t="s">
        <v>10796</v>
      </c>
      <c r="BN675" t="s">
        <v>74</v>
      </c>
      <c r="BO675" t="s">
        <v>833</v>
      </c>
      <c r="BP675" t="s">
        <v>74</v>
      </c>
      <c r="BQ675" t="s">
        <v>74</v>
      </c>
      <c r="BR675" t="s">
        <v>101</v>
      </c>
      <c r="BS675" t="s">
        <v>10797</v>
      </c>
      <c r="BT675" t="str">
        <f>HYPERLINK("https%3A%2F%2Fwww.webofscience.com%2Fwos%2Fwoscc%2Ffull-record%2FWOS:000245629100009","View Full Record in Web of Science")</f>
        <v>View Full Record in Web of Science</v>
      </c>
    </row>
    <row r="676" spans="1:72" x14ac:dyDescent="0.15">
      <c r="A676" t="s">
        <v>72</v>
      </c>
      <c r="B676" t="s">
        <v>10798</v>
      </c>
      <c r="C676" t="s">
        <v>74</v>
      </c>
      <c r="D676" t="s">
        <v>74</v>
      </c>
      <c r="E676" t="s">
        <v>74</v>
      </c>
      <c r="F676" t="s">
        <v>10799</v>
      </c>
      <c r="G676" t="s">
        <v>74</v>
      </c>
      <c r="H676" t="s">
        <v>74</v>
      </c>
      <c r="I676" t="s">
        <v>10800</v>
      </c>
      <c r="J676" t="s">
        <v>7659</v>
      </c>
      <c r="K676" t="s">
        <v>74</v>
      </c>
      <c r="L676" t="s">
        <v>74</v>
      </c>
      <c r="M676" t="s">
        <v>78</v>
      </c>
      <c r="N676" t="s">
        <v>79</v>
      </c>
      <c r="O676" t="s">
        <v>74</v>
      </c>
      <c r="P676" t="s">
        <v>74</v>
      </c>
      <c r="Q676" t="s">
        <v>74</v>
      </c>
      <c r="R676" t="s">
        <v>74</v>
      </c>
      <c r="S676" t="s">
        <v>74</v>
      </c>
      <c r="T676" t="s">
        <v>74</v>
      </c>
      <c r="U676" t="s">
        <v>10801</v>
      </c>
      <c r="V676" t="s">
        <v>10802</v>
      </c>
      <c r="W676" t="s">
        <v>10803</v>
      </c>
      <c r="X676" t="s">
        <v>10804</v>
      </c>
      <c r="Y676" t="s">
        <v>10805</v>
      </c>
      <c r="Z676" t="s">
        <v>10806</v>
      </c>
      <c r="AA676" t="s">
        <v>10807</v>
      </c>
      <c r="AB676" t="s">
        <v>10808</v>
      </c>
      <c r="AC676" t="s">
        <v>1143</v>
      </c>
      <c r="AD676" t="s">
        <v>361</v>
      </c>
      <c r="AE676" t="s">
        <v>74</v>
      </c>
      <c r="AF676" t="s">
        <v>74</v>
      </c>
      <c r="AG676">
        <v>30</v>
      </c>
      <c r="AH676">
        <v>11</v>
      </c>
      <c r="AI676">
        <v>14</v>
      </c>
      <c r="AJ676">
        <v>1</v>
      </c>
      <c r="AK676">
        <v>11</v>
      </c>
      <c r="AL676" t="s">
        <v>7666</v>
      </c>
      <c r="AM676" t="s">
        <v>7667</v>
      </c>
      <c r="AN676" t="s">
        <v>7668</v>
      </c>
      <c r="AO676" t="s">
        <v>7669</v>
      </c>
      <c r="AP676" t="s">
        <v>10809</v>
      </c>
      <c r="AQ676" t="s">
        <v>74</v>
      </c>
      <c r="AR676" t="s">
        <v>7670</v>
      </c>
      <c r="AS676" t="s">
        <v>7671</v>
      </c>
      <c r="AT676" t="s">
        <v>9849</v>
      </c>
      <c r="AU676">
        <v>2007</v>
      </c>
      <c r="AV676">
        <v>164</v>
      </c>
      <c r="AW676" t="s">
        <v>74</v>
      </c>
      <c r="AX676">
        <v>2</v>
      </c>
      <c r="AY676" t="s">
        <v>74</v>
      </c>
      <c r="AZ676" t="s">
        <v>74</v>
      </c>
      <c r="BA676" t="s">
        <v>74</v>
      </c>
      <c r="BB676">
        <v>317</v>
      </c>
      <c r="BC676">
        <v>322</v>
      </c>
      <c r="BD676" t="s">
        <v>74</v>
      </c>
      <c r="BE676" t="s">
        <v>10810</v>
      </c>
      <c r="BF676" t="str">
        <f>HYPERLINK("http://dx.doi.org/10.1144/0016-76492005-191","http://dx.doi.org/10.1144/0016-76492005-191")</f>
        <v>http://dx.doi.org/10.1144/0016-76492005-191</v>
      </c>
      <c r="BG676" t="s">
        <v>74</v>
      </c>
      <c r="BH676" t="s">
        <v>74</v>
      </c>
      <c r="BI676">
        <v>6</v>
      </c>
      <c r="BJ676" t="s">
        <v>151</v>
      </c>
      <c r="BK676" t="s">
        <v>98</v>
      </c>
      <c r="BL676" t="s">
        <v>152</v>
      </c>
      <c r="BM676" t="s">
        <v>10811</v>
      </c>
      <c r="BN676" t="s">
        <v>74</v>
      </c>
      <c r="BO676" t="s">
        <v>74</v>
      </c>
      <c r="BP676" t="s">
        <v>74</v>
      </c>
      <c r="BQ676" t="s">
        <v>74</v>
      </c>
      <c r="BR676" t="s">
        <v>101</v>
      </c>
      <c r="BS676" t="s">
        <v>10812</v>
      </c>
      <c r="BT676" t="str">
        <f>HYPERLINK("https%3A%2F%2Fwww.webofscience.com%2Fwos%2Fwoscc%2Ffull-record%2FWOS:000245143300005","View Full Record in Web of Science")</f>
        <v>View Full Record in Web of Science</v>
      </c>
    </row>
    <row r="677" spans="1:72" x14ac:dyDescent="0.15">
      <c r="A677" t="s">
        <v>72</v>
      </c>
      <c r="B677" t="s">
        <v>10813</v>
      </c>
      <c r="C677" t="s">
        <v>74</v>
      </c>
      <c r="D677" t="s">
        <v>74</v>
      </c>
      <c r="E677" t="s">
        <v>74</v>
      </c>
      <c r="F677" t="s">
        <v>10814</v>
      </c>
      <c r="G677" t="s">
        <v>74</v>
      </c>
      <c r="H677" t="s">
        <v>74</v>
      </c>
      <c r="I677" t="s">
        <v>10815</v>
      </c>
      <c r="J677" t="s">
        <v>7659</v>
      </c>
      <c r="K677" t="s">
        <v>74</v>
      </c>
      <c r="L677" t="s">
        <v>74</v>
      </c>
      <c r="M677" t="s">
        <v>78</v>
      </c>
      <c r="N677" t="s">
        <v>248</v>
      </c>
      <c r="O677" t="s">
        <v>74</v>
      </c>
      <c r="P677" t="s">
        <v>74</v>
      </c>
      <c r="Q677" t="s">
        <v>74</v>
      </c>
      <c r="R677" t="s">
        <v>74</v>
      </c>
      <c r="S677" t="s">
        <v>74</v>
      </c>
      <c r="T677" t="s">
        <v>74</v>
      </c>
      <c r="U677" t="s">
        <v>10816</v>
      </c>
      <c r="V677" t="s">
        <v>10817</v>
      </c>
      <c r="W677" t="s">
        <v>10818</v>
      </c>
      <c r="X677" t="s">
        <v>10819</v>
      </c>
      <c r="Y677" t="s">
        <v>10820</v>
      </c>
      <c r="Z677" t="s">
        <v>10821</v>
      </c>
      <c r="AA677" t="s">
        <v>10822</v>
      </c>
      <c r="AB677" t="s">
        <v>74</v>
      </c>
      <c r="AC677" t="s">
        <v>2461</v>
      </c>
      <c r="AD677" t="s">
        <v>361</v>
      </c>
      <c r="AE677" t="s">
        <v>74</v>
      </c>
      <c r="AF677" t="s">
        <v>74</v>
      </c>
      <c r="AG677">
        <v>135</v>
      </c>
      <c r="AH677">
        <v>21</v>
      </c>
      <c r="AI677">
        <v>22</v>
      </c>
      <c r="AJ677">
        <v>0</v>
      </c>
      <c r="AK677">
        <v>14</v>
      </c>
      <c r="AL677" t="s">
        <v>7666</v>
      </c>
      <c r="AM677" t="s">
        <v>7667</v>
      </c>
      <c r="AN677" t="s">
        <v>7668</v>
      </c>
      <c r="AO677" t="s">
        <v>7669</v>
      </c>
      <c r="AP677" t="s">
        <v>10809</v>
      </c>
      <c r="AQ677" t="s">
        <v>74</v>
      </c>
      <c r="AR677" t="s">
        <v>7670</v>
      </c>
      <c r="AS677" t="s">
        <v>7671</v>
      </c>
      <c r="AT677" t="s">
        <v>9849</v>
      </c>
      <c r="AU677">
        <v>2007</v>
      </c>
      <c r="AV677">
        <v>164</v>
      </c>
      <c r="AW677" t="s">
        <v>74</v>
      </c>
      <c r="AX677">
        <v>2</v>
      </c>
      <c r="AY677" t="s">
        <v>74</v>
      </c>
      <c r="AZ677" t="s">
        <v>74</v>
      </c>
      <c r="BA677" t="s">
        <v>74</v>
      </c>
      <c r="BB677">
        <v>383</v>
      </c>
      <c r="BC677">
        <v>392</v>
      </c>
      <c r="BD677" t="s">
        <v>74</v>
      </c>
      <c r="BE677" t="s">
        <v>10823</v>
      </c>
      <c r="BF677" t="str">
        <f>HYPERLINK("http://dx.doi.org/10.1144/0016-76492005-109","http://dx.doi.org/10.1144/0016-76492005-109")</f>
        <v>http://dx.doi.org/10.1144/0016-76492005-109</v>
      </c>
      <c r="BG677" t="s">
        <v>74</v>
      </c>
      <c r="BH677" t="s">
        <v>74</v>
      </c>
      <c r="BI677">
        <v>10</v>
      </c>
      <c r="BJ677" t="s">
        <v>151</v>
      </c>
      <c r="BK677" t="s">
        <v>98</v>
      </c>
      <c r="BL677" t="s">
        <v>152</v>
      </c>
      <c r="BM677" t="s">
        <v>10811</v>
      </c>
      <c r="BN677" t="s">
        <v>74</v>
      </c>
      <c r="BO677" t="s">
        <v>74</v>
      </c>
      <c r="BP677" t="s">
        <v>74</v>
      </c>
      <c r="BQ677" t="s">
        <v>74</v>
      </c>
      <c r="BR677" t="s">
        <v>101</v>
      </c>
      <c r="BS677" t="s">
        <v>10824</v>
      </c>
      <c r="BT677" t="str">
        <f>HYPERLINK("https%3A%2F%2Fwww.webofscience.com%2Fwos%2Fwoscc%2Ffull-record%2FWOS:000245143300012","View Full Record in Web of Science")</f>
        <v>View Full Record in Web of Science</v>
      </c>
    </row>
    <row r="678" spans="1:72" x14ac:dyDescent="0.15">
      <c r="A678" t="s">
        <v>72</v>
      </c>
      <c r="B678" t="s">
        <v>10825</v>
      </c>
      <c r="C678" t="s">
        <v>74</v>
      </c>
      <c r="D678" t="s">
        <v>74</v>
      </c>
      <c r="E678" t="s">
        <v>74</v>
      </c>
      <c r="F678" t="s">
        <v>10826</v>
      </c>
      <c r="G678" t="s">
        <v>74</v>
      </c>
      <c r="H678" t="s">
        <v>74</v>
      </c>
      <c r="I678" t="s">
        <v>10827</v>
      </c>
      <c r="J678" t="s">
        <v>7659</v>
      </c>
      <c r="K678" t="s">
        <v>74</v>
      </c>
      <c r="L678" t="s">
        <v>74</v>
      </c>
      <c r="M678" t="s">
        <v>78</v>
      </c>
      <c r="N678" t="s">
        <v>8183</v>
      </c>
      <c r="O678" t="s">
        <v>74</v>
      </c>
      <c r="P678" t="s">
        <v>74</v>
      </c>
      <c r="Q678" t="s">
        <v>74</v>
      </c>
      <c r="R678" t="s">
        <v>74</v>
      </c>
      <c r="S678" t="s">
        <v>74</v>
      </c>
      <c r="T678" t="s">
        <v>74</v>
      </c>
      <c r="U678" t="s">
        <v>74</v>
      </c>
      <c r="V678" t="s">
        <v>74</v>
      </c>
      <c r="W678" t="s">
        <v>74</v>
      </c>
      <c r="X678" t="s">
        <v>74</v>
      </c>
      <c r="Y678" t="s">
        <v>74</v>
      </c>
      <c r="Z678" t="s">
        <v>74</v>
      </c>
      <c r="AA678" t="s">
        <v>10828</v>
      </c>
      <c r="AB678" t="s">
        <v>10829</v>
      </c>
      <c r="AC678" t="s">
        <v>74</v>
      </c>
      <c r="AD678" t="s">
        <v>74</v>
      </c>
      <c r="AE678" t="s">
        <v>74</v>
      </c>
      <c r="AF678" t="s">
        <v>74</v>
      </c>
      <c r="AG678">
        <v>1</v>
      </c>
      <c r="AH678">
        <v>0</v>
      </c>
      <c r="AI678">
        <v>0</v>
      </c>
      <c r="AJ678">
        <v>0</v>
      </c>
      <c r="AK678">
        <v>4</v>
      </c>
      <c r="AL678" t="s">
        <v>7666</v>
      </c>
      <c r="AM678" t="s">
        <v>7667</v>
      </c>
      <c r="AN678" t="s">
        <v>7668</v>
      </c>
      <c r="AO678" t="s">
        <v>7669</v>
      </c>
      <c r="AP678" t="s">
        <v>74</v>
      </c>
      <c r="AQ678" t="s">
        <v>74</v>
      </c>
      <c r="AR678" t="s">
        <v>7670</v>
      </c>
      <c r="AS678" t="s">
        <v>7671</v>
      </c>
      <c r="AT678" t="s">
        <v>9849</v>
      </c>
      <c r="AU678">
        <v>2007</v>
      </c>
      <c r="AV678">
        <v>164</v>
      </c>
      <c r="AW678" t="s">
        <v>74</v>
      </c>
      <c r="AX678">
        <v>2</v>
      </c>
      <c r="AY678" t="s">
        <v>74</v>
      </c>
      <c r="AZ678" t="s">
        <v>74</v>
      </c>
      <c r="BA678" t="s">
        <v>74</v>
      </c>
      <c r="BB678">
        <v>480</v>
      </c>
      <c r="BC678">
        <v>480</v>
      </c>
      <c r="BD678" t="s">
        <v>74</v>
      </c>
      <c r="BE678" t="s">
        <v>10830</v>
      </c>
      <c r="BF678" t="str">
        <f>HYPERLINK("http://dx.doi.org/10.1144/0016-7649Er164-1","http://dx.doi.org/10.1144/0016-7649Er164-1")</f>
        <v>http://dx.doi.org/10.1144/0016-7649Er164-1</v>
      </c>
      <c r="BG678" t="s">
        <v>74</v>
      </c>
      <c r="BH678" t="s">
        <v>74</v>
      </c>
      <c r="BI678">
        <v>1</v>
      </c>
      <c r="BJ678" t="s">
        <v>151</v>
      </c>
      <c r="BK678" t="s">
        <v>98</v>
      </c>
      <c r="BL678" t="s">
        <v>152</v>
      </c>
      <c r="BM678" t="s">
        <v>10811</v>
      </c>
      <c r="BN678" t="s">
        <v>74</v>
      </c>
      <c r="BO678" t="s">
        <v>74</v>
      </c>
      <c r="BP678" t="s">
        <v>74</v>
      </c>
      <c r="BQ678" t="s">
        <v>74</v>
      </c>
      <c r="BR678" t="s">
        <v>101</v>
      </c>
      <c r="BS678" t="s">
        <v>10831</v>
      </c>
      <c r="BT678" t="str">
        <f>HYPERLINK("https%3A%2F%2Fwww.webofscience.com%2Fwos%2Fwoscc%2Ffull-record%2FWOS:000245143300020","View Full Record in Web of Science")</f>
        <v>View Full Record in Web of Science</v>
      </c>
    </row>
    <row r="679" spans="1:72" x14ac:dyDescent="0.15">
      <c r="A679" t="s">
        <v>72</v>
      </c>
      <c r="B679" t="s">
        <v>10832</v>
      </c>
      <c r="C679" t="s">
        <v>74</v>
      </c>
      <c r="D679" t="s">
        <v>74</v>
      </c>
      <c r="E679" t="s">
        <v>74</v>
      </c>
      <c r="F679" t="s">
        <v>10833</v>
      </c>
      <c r="G679" t="s">
        <v>74</v>
      </c>
      <c r="H679" t="s">
        <v>74</v>
      </c>
      <c r="I679" t="s">
        <v>10834</v>
      </c>
      <c r="J679" t="s">
        <v>8958</v>
      </c>
      <c r="K679" t="s">
        <v>74</v>
      </c>
      <c r="L679" t="s">
        <v>74</v>
      </c>
      <c r="M679" t="s">
        <v>78</v>
      </c>
      <c r="N679" t="s">
        <v>514</v>
      </c>
      <c r="O679" t="s">
        <v>10835</v>
      </c>
      <c r="P679" t="s">
        <v>10836</v>
      </c>
      <c r="Q679" t="s">
        <v>10837</v>
      </c>
      <c r="R679" t="s">
        <v>74</v>
      </c>
      <c r="S679" t="s">
        <v>74</v>
      </c>
      <c r="T679" t="s">
        <v>10838</v>
      </c>
      <c r="U679" t="s">
        <v>10839</v>
      </c>
      <c r="V679" t="s">
        <v>10840</v>
      </c>
      <c r="W679" t="s">
        <v>10841</v>
      </c>
      <c r="X679" t="s">
        <v>10842</v>
      </c>
      <c r="Y679" t="s">
        <v>10843</v>
      </c>
      <c r="Z679" t="s">
        <v>10844</v>
      </c>
      <c r="AA679" t="s">
        <v>10845</v>
      </c>
      <c r="AB679" t="s">
        <v>10846</v>
      </c>
      <c r="AC679" t="s">
        <v>74</v>
      </c>
      <c r="AD679" t="s">
        <v>74</v>
      </c>
      <c r="AE679" t="s">
        <v>74</v>
      </c>
      <c r="AF679" t="s">
        <v>74</v>
      </c>
      <c r="AG679">
        <v>44</v>
      </c>
      <c r="AH679">
        <v>10</v>
      </c>
      <c r="AI679">
        <v>10</v>
      </c>
      <c r="AJ679">
        <v>0</v>
      </c>
      <c r="AK679">
        <v>0</v>
      </c>
      <c r="AL679" t="s">
        <v>8966</v>
      </c>
      <c r="AM679" t="s">
        <v>8967</v>
      </c>
      <c r="AN679" t="s">
        <v>8968</v>
      </c>
      <c r="AO679" t="s">
        <v>8969</v>
      </c>
      <c r="AP679" t="s">
        <v>8970</v>
      </c>
      <c r="AQ679" t="s">
        <v>74</v>
      </c>
      <c r="AR679" t="s">
        <v>8971</v>
      </c>
      <c r="AS679" t="s">
        <v>8972</v>
      </c>
      <c r="AT679" t="s">
        <v>9849</v>
      </c>
      <c r="AU679">
        <v>2007</v>
      </c>
      <c r="AV679">
        <v>69</v>
      </c>
      <c r="AW679">
        <v>3</v>
      </c>
      <c r="AX679" t="s">
        <v>74</v>
      </c>
      <c r="AY679" t="s">
        <v>74</v>
      </c>
      <c r="AZ679" t="s">
        <v>74</v>
      </c>
      <c r="BA679" t="s">
        <v>74</v>
      </c>
      <c r="BB679">
        <v>539</v>
      </c>
      <c r="BC679">
        <v>545</v>
      </c>
      <c r="BD679" t="s">
        <v>74</v>
      </c>
      <c r="BE679" t="s">
        <v>74</v>
      </c>
      <c r="BF679" t="s">
        <v>74</v>
      </c>
      <c r="BG679" t="s">
        <v>74</v>
      </c>
      <c r="BH679" t="s">
        <v>74</v>
      </c>
      <c r="BI679">
        <v>7</v>
      </c>
      <c r="BJ679" t="s">
        <v>151</v>
      </c>
      <c r="BK679" t="s">
        <v>535</v>
      </c>
      <c r="BL679" t="s">
        <v>152</v>
      </c>
      <c r="BM679" t="s">
        <v>10847</v>
      </c>
      <c r="BN679" t="s">
        <v>74</v>
      </c>
      <c r="BO679" t="s">
        <v>74</v>
      </c>
      <c r="BP679" t="s">
        <v>74</v>
      </c>
      <c r="BQ679" t="s">
        <v>74</v>
      </c>
      <c r="BR679" t="s">
        <v>101</v>
      </c>
      <c r="BS679" t="s">
        <v>10848</v>
      </c>
      <c r="BT679" t="str">
        <f>HYPERLINK("https%3A%2F%2Fwww.webofscience.com%2Fwos%2Fwoscc%2Ffull-record%2FWOS:000245722800008","View Full Record in Web of Science")</f>
        <v>View Full Record in Web of Science</v>
      </c>
    </row>
    <row r="680" spans="1:72" x14ac:dyDescent="0.15">
      <c r="A680" t="s">
        <v>72</v>
      </c>
      <c r="B680" t="s">
        <v>10849</v>
      </c>
      <c r="C680" t="s">
        <v>74</v>
      </c>
      <c r="D680" t="s">
        <v>74</v>
      </c>
      <c r="E680" t="s">
        <v>74</v>
      </c>
      <c r="F680" t="s">
        <v>10850</v>
      </c>
      <c r="G680" t="s">
        <v>74</v>
      </c>
      <c r="H680" t="s">
        <v>74</v>
      </c>
      <c r="I680" t="s">
        <v>10851</v>
      </c>
      <c r="J680" t="s">
        <v>10852</v>
      </c>
      <c r="K680" t="s">
        <v>74</v>
      </c>
      <c r="L680" t="s">
        <v>74</v>
      </c>
      <c r="M680" t="s">
        <v>78</v>
      </c>
      <c r="N680" t="s">
        <v>79</v>
      </c>
      <c r="O680" t="s">
        <v>74</v>
      </c>
      <c r="P680" t="s">
        <v>74</v>
      </c>
      <c r="Q680" t="s">
        <v>74</v>
      </c>
      <c r="R680" t="s">
        <v>74</v>
      </c>
      <c r="S680" t="s">
        <v>74</v>
      </c>
      <c r="T680" t="s">
        <v>74</v>
      </c>
      <c r="U680" t="s">
        <v>10853</v>
      </c>
      <c r="V680" t="s">
        <v>10854</v>
      </c>
      <c r="W680" t="s">
        <v>10855</v>
      </c>
      <c r="X680" t="s">
        <v>2385</v>
      </c>
      <c r="Y680" t="s">
        <v>10856</v>
      </c>
      <c r="Z680" t="s">
        <v>10857</v>
      </c>
      <c r="AA680" t="s">
        <v>74</v>
      </c>
      <c r="AB680" t="s">
        <v>74</v>
      </c>
      <c r="AC680" t="s">
        <v>74</v>
      </c>
      <c r="AD680" t="s">
        <v>74</v>
      </c>
      <c r="AE680" t="s">
        <v>74</v>
      </c>
      <c r="AF680" t="s">
        <v>74</v>
      </c>
      <c r="AG680">
        <v>30</v>
      </c>
      <c r="AH680">
        <v>2</v>
      </c>
      <c r="AI680">
        <v>3</v>
      </c>
      <c r="AJ680">
        <v>0</v>
      </c>
      <c r="AK680">
        <v>3</v>
      </c>
      <c r="AL680" t="s">
        <v>10858</v>
      </c>
      <c r="AM680" t="s">
        <v>10859</v>
      </c>
      <c r="AN680" t="s">
        <v>10860</v>
      </c>
      <c r="AO680" t="s">
        <v>10861</v>
      </c>
      <c r="AP680" t="s">
        <v>10862</v>
      </c>
      <c r="AQ680" t="s">
        <v>74</v>
      </c>
      <c r="AR680" t="s">
        <v>10863</v>
      </c>
      <c r="AS680" t="s">
        <v>10864</v>
      </c>
      <c r="AT680" t="s">
        <v>9841</v>
      </c>
      <c r="AU680">
        <v>2007</v>
      </c>
      <c r="AV680">
        <v>42</v>
      </c>
      <c r="AW680">
        <v>2</v>
      </c>
      <c r="AX680" t="s">
        <v>74</v>
      </c>
      <c r="AY680" t="s">
        <v>74</v>
      </c>
      <c r="AZ680" t="s">
        <v>74</v>
      </c>
      <c r="BA680" t="s">
        <v>74</v>
      </c>
      <c r="BB680">
        <v>118</v>
      </c>
      <c r="BC680">
        <v>136</v>
      </c>
      <c r="BD680" t="s">
        <v>74</v>
      </c>
      <c r="BE680" t="s">
        <v>10865</v>
      </c>
      <c r="BF680" t="str">
        <f>HYPERLINK("http://dx.doi.org/10.1134/S0024490207020022","http://dx.doi.org/10.1134/S0024490207020022")</f>
        <v>http://dx.doi.org/10.1134/S0024490207020022</v>
      </c>
      <c r="BG680" t="s">
        <v>74</v>
      </c>
      <c r="BH680" t="s">
        <v>74</v>
      </c>
      <c r="BI680">
        <v>19</v>
      </c>
      <c r="BJ680" t="s">
        <v>10866</v>
      </c>
      <c r="BK680" t="s">
        <v>98</v>
      </c>
      <c r="BL680" t="s">
        <v>10866</v>
      </c>
      <c r="BM680" t="s">
        <v>10867</v>
      </c>
      <c r="BN680" t="s">
        <v>74</v>
      </c>
      <c r="BO680" t="s">
        <v>74</v>
      </c>
      <c r="BP680" t="s">
        <v>74</v>
      </c>
      <c r="BQ680" t="s">
        <v>74</v>
      </c>
      <c r="BR680" t="s">
        <v>101</v>
      </c>
      <c r="BS680" t="s">
        <v>10868</v>
      </c>
      <c r="BT680" t="str">
        <f>HYPERLINK("https%3A%2F%2Fwww.webofscience.com%2Fwos%2Fwoscc%2Ffull-record%2FWOS:000244935500002","View Full Record in Web of Science")</f>
        <v>View Full Record in Web of Science</v>
      </c>
    </row>
    <row r="681" spans="1:72" x14ac:dyDescent="0.15">
      <c r="A681" t="s">
        <v>72</v>
      </c>
      <c r="B681" t="s">
        <v>10869</v>
      </c>
      <c r="C681" t="s">
        <v>74</v>
      </c>
      <c r="D681" t="s">
        <v>74</v>
      </c>
      <c r="E681" t="s">
        <v>74</v>
      </c>
      <c r="F681" t="s">
        <v>10870</v>
      </c>
      <c r="G681" t="s">
        <v>74</v>
      </c>
      <c r="H681" t="s">
        <v>74</v>
      </c>
      <c r="I681" t="s">
        <v>10871</v>
      </c>
      <c r="J681" t="s">
        <v>2161</v>
      </c>
      <c r="K681" t="s">
        <v>74</v>
      </c>
      <c r="L681" t="s">
        <v>74</v>
      </c>
      <c r="M681" t="s">
        <v>78</v>
      </c>
      <c r="N681" t="s">
        <v>79</v>
      </c>
      <c r="O681" t="s">
        <v>74</v>
      </c>
      <c r="P681" t="s">
        <v>74</v>
      </c>
      <c r="Q681" t="s">
        <v>74</v>
      </c>
      <c r="R681" t="s">
        <v>74</v>
      </c>
      <c r="S681" t="s">
        <v>74</v>
      </c>
      <c r="T681" t="s">
        <v>74</v>
      </c>
      <c r="U681" t="s">
        <v>10872</v>
      </c>
      <c r="V681" t="s">
        <v>10873</v>
      </c>
      <c r="W681" t="s">
        <v>10874</v>
      </c>
      <c r="X681" t="s">
        <v>10875</v>
      </c>
      <c r="Y681" t="s">
        <v>10876</v>
      </c>
      <c r="Z681" t="s">
        <v>10877</v>
      </c>
      <c r="AA681" t="s">
        <v>10878</v>
      </c>
      <c r="AB681" t="s">
        <v>74</v>
      </c>
      <c r="AC681" t="s">
        <v>74</v>
      </c>
      <c r="AD681" t="s">
        <v>74</v>
      </c>
      <c r="AE681" t="s">
        <v>74</v>
      </c>
      <c r="AF681" t="s">
        <v>74</v>
      </c>
      <c r="AG681">
        <v>69</v>
      </c>
      <c r="AH681">
        <v>52</v>
      </c>
      <c r="AI681">
        <v>60</v>
      </c>
      <c r="AJ681">
        <v>0</v>
      </c>
      <c r="AK681">
        <v>26</v>
      </c>
      <c r="AL681" t="s">
        <v>2170</v>
      </c>
      <c r="AM681" t="s">
        <v>2171</v>
      </c>
      <c r="AN681" t="s">
        <v>2172</v>
      </c>
      <c r="AO681" t="s">
        <v>2173</v>
      </c>
      <c r="AP681" t="s">
        <v>2174</v>
      </c>
      <c r="AQ681" t="s">
        <v>74</v>
      </c>
      <c r="AR681" t="s">
        <v>2175</v>
      </c>
      <c r="AS681" t="s">
        <v>2176</v>
      </c>
      <c r="AT681" t="s">
        <v>9849</v>
      </c>
      <c r="AU681">
        <v>2007</v>
      </c>
      <c r="AV681">
        <v>151</v>
      </c>
      <c r="AW681">
        <v>1</v>
      </c>
      <c r="AX681" t="s">
        <v>74</v>
      </c>
      <c r="AY681" t="s">
        <v>74</v>
      </c>
      <c r="AZ681" t="s">
        <v>74</v>
      </c>
      <c r="BA681" t="s">
        <v>74</v>
      </c>
      <c r="BB681">
        <v>257</v>
      </c>
      <c r="BC681">
        <v>269</v>
      </c>
      <c r="BD681" t="s">
        <v>74</v>
      </c>
      <c r="BE681" t="s">
        <v>10879</v>
      </c>
      <c r="BF681" t="str">
        <f>HYPERLINK("http://dx.doi.org/10.1007/s00227-006-0483-1","http://dx.doi.org/10.1007/s00227-006-0483-1")</f>
        <v>http://dx.doi.org/10.1007/s00227-006-0483-1</v>
      </c>
      <c r="BG681" t="s">
        <v>74</v>
      </c>
      <c r="BH681" t="s">
        <v>74</v>
      </c>
      <c r="BI681">
        <v>13</v>
      </c>
      <c r="BJ681" t="s">
        <v>2178</v>
      </c>
      <c r="BK681" t="s">
        <v>98</v>
      </c>
      <c r="BL681" t="s">
        <v>2178</v>
      </c>
      <c r="BM681" t="s">
        <v>10880</v>
      </c>
      <c r="BN681" t="s">
        <v>74</v>
      </c>
      <c r="BO681" t="s">
        <v>74</v>
      </c>
      <c r="BP681" t="s">
        <v>74</v>
      </c>
      <c r="BQ681" t="s">
        <v>74</v>
      </c>
      <c r="BR681" t="s">
        <v>101</v>
      </c>
      <c r="BS681" t="s">
        <v>10881</v>
      </c>
      <c r="BT681" t="str">
        <f>HYPERLINK("https%3A%2F%2Fwww.webofscience.com%2Fwos%2Fwoscc%2Ffull-record%2FWOS:000244485800023","View Full Record in Web of Science")</f>
        <v>View Full Record in Web of Science</v>
      </c>
    </row>
    <row r="682" spans="1:72" x14ac:dyDescent="0.15">
      <c r="A682" t="s">
        <v>72</v>
      </c>
      <c r="B682" t="s">
        <v>10882</v>
      </c>
      <c r="C682" t="s">
        <v>74</v>
      </c>
      <c r="D682" t="s">
        <v>74</v>
      </c>
      <c r="E682" t="s">
        <v>74</v>
      </c>
      <c r="F682" t="s">
        <v>10883</v>
      </c>
      <c r="G682" t="s">
        <v>74</v>
      </c>
      <c r="H682" t="s">
        <v>74</v>
      </c>
      <c r="I682" t="s">
        <v>10884</v>
      </c>
      <c r="J682" t="s">
        <v>2161</v>
      </c>
      <c r="K682" t="s">
        <v>74</v>
      </c>
      <c r="L682" t="s">
        <v>74</v>
      </c>
      <c r="M682" t="s">
        <v>78</v>
      </c>
      <c r="N682" t="s">
        <v>79</v>
      </c>
      <c r="O682" t="s">
        <v>74</v>
      </c>
      <c r="P682" t="s">
        <v>74</v>
      </c>
      <c r="Q682" t="s">
        <v>74</v>
      </c>
      <c r="R682" t="s">
        <v>74</v>
      </c>
      <c r="S682" t="s">
        <v>74</v>
      </c>
      <c r="T682" t="s">
        <v>74</v>
      </c>
      <c r="U682" t="s">
        <v>10885</v>
      </c>
      <c r="V682" t="s">
        <v>10886</v>
      </c>
      <c r="W682" t="s">
        <v>10887</v>
      </c>
      <c r="X682" t="s">
        <v>10888</v>
      </c>
      <c r="Y682" t="s">
        <v>10889</v>
      </c>
      <c r="Z682" t="s">
        <v>10890</v>
      </c>
      <c r="AA682" t="s">
        <v>10891</v>
      </c>
      <c r="AB682" t="s">
        <v>10892</v>
      </c>
      <c r="AC682" t="s">
        <v>480</v>
      </c>
      <c r="AD682" t="s">
        <v>140</v>
      </c>
      <c r="AE682" t="s">
        <v>74</v>
      </c>
      <c r="AF682" t="s">
        <v>74</v>
      </c>
      <c r="AG682">
        <v>32</v>
      </c>
      <c r="AH682">
        <v>12</v>
      </c>
      <c r="AI682">
        <v>15</v>
      </c>
      <c r="AJ682">
        <v>1</v>
      </c>
      <c r="AK682">
        <v>33</v>
      </c>
      <c r="AL682" t="s">
        <v>2170</v>
      </c>
      <c r="AM682" t="s">
        <v>2171</v>
      </c>
      <c r="AN682" t="s">
        <v>2172</v>
      </c>
      <c r="AO682" t="s">
        <v>2173</v>
      </c>
      <c r="AP682" t="s">
        <v>2174</v>
      </c>
      <c r="AQ682" t="s">
        <v>74</v>
      </c>
      <c r="AR682" t="s">
        <v>2175</v>
      </c>
      <c r="AS682" t="s">
        <v>2176</v>
      </c>
      <c r="AT682" t="s">
        <v>9849</v>
      </c>
      <c r="AU682">
        <v>2007</v>
      </c>
      <c r="AV682">
        <v>150</v>
      </c>
      <c r="AW682">
        <v>6</v>
      </c>
      <c r="AX682" t="s">
        <v>74</v>
      </c>
      <c r="AY682" t="s">
        <v>74</v>
      </c>
      <c r="AZ682" t="s">
        <v>74</v>
      </c>
      <c r="BA682" t="s">
        <v>74</v>
      </c>
      <c r="BB682">
        <v>1053</v>
      </c>
      <c r="BC682">
        <v>1060</v>
      </c>
      <c r="BD682" t="s">
        <v>74</v>
      </c>
      <c r="BE682" t="s">
        <v>10893</v>
      </c>
      <c r="BF682" t="str">
        <f>HYPERLINK("http://dx.doi.org/10.1007/s00227-006-0407-0","http://dx.doi.org/10.1007/s00227-006-0407-0")</f>
        <v>http://dx.doi.org/10.1007/s00227-006-0407-0</v>
      </c>
      <c r="BG682" t="s">
        <v>74</v>
      </c>
      <c r="BH682" t="s">
        <v>74</v>
      </c>
      <c r="BI682">
        <v>8</v>
      </c>
      <c r="BJ682" t="s">
        <v>2178</v>
      </c>
      <c r="BK682" t="s">
        <v>98</v>
      </c>
      <c r="BL682" t="s">
        <v>2178</v>
      </c>
      <c r="BM682" t="s">
        <v>10894</v>
      </c>
      <c r="BN682" t="s">
        <v>74</v>
      </c>
      <c r="BO682" t="s">
        <v>74</v>
      </c>
      <c r="BP682" t="s">
        <v>74</v>
      </c>
      <c r="BQ682" t="s">
        <v>74</v>
      </c>
      <c r="BR682" t="s">
        <v>101</v>
      </c>
      <c r="BS682" t="s">
        <v>10895</v>
      </c>
      <c r="BT682" t="str">
        <f>HYPERLINK("https%3A%2F%2Fwww.webofscience.com%2Fwos%2Fwoscc%2Ffull-record%2FWOS:000244454900001","View Full Record in Web of Science")</f>
        <v>View Full Record in Web of Science</v>
      </c>
    </row>
    <row r="683" spans="1:72" x14ac:dyDescent="0.15">
      <c r="A683" t="s">
        <v>72</v>
      </c>
      <c r="B683" t="s">
        <v>10896</v>
      </c>
      <c r="C683" t="s">
        <v>74</v>
      </c>
      <c r="D683" t="s">
        <v>74</v>
      </c>
      <c r="E683" t="s">
        <v>74</v>
      </c>
      <c r="F683" t="s">
        <v>10897</v>
      </c>
      <c r="G683" t="s">
        <v>74</v>
      </c>
      <c r="H683" t="s">
        <v>74</v>
      </c>
      <c r="I683" t="s">
        <v>10898</v>
      </c>
      <c r="J683" t="s">
        <v>2161</v>
      </c>
      <c r="K683" t="s">
        <v>74</v>
      </c>
      <c r="L683" t="s">
        <v>74</v>
      </c>
      <c r="M683" t="s">
        <v>78</v>
      </c>
      <c r="N683" t="s">
        <v>79</v>
      </c>
      <c r="O683" t="s">
        <v>74</v>
      </c>
      <c r="P683" t="s">
        <v>74</v>
      </c>
      <c r="Q683" t="s">
        <v>74</v>
      </c>
      <c r="R683" t="s">
        <v>74</v>
      </c>
      <c r="S683" t="s">
        <v>74</v>
      </c>
      <c r="T683" t="s">
        <v>74</v>
      </c>
      <c r="U683" t="s">
        <v>10899</v>
      </c>
      <c r="V683" t="s">
        <v>10900</v>
      </c>
      <c r="W683" t="s">
        <v>10901</v>
      </c>
      <c r="X683" t="s">
        <v>10902</v>
      </c>
      <c r="Y683" t="s">
        <v>10903</v>
      </c>
      <c r="Z683" t="s">
        <v>10904</v>
      </c>
      <c r="AA683" t="s">
        <v>74</v>
      </c>
      <c r="AB683" t="s">
        <v>10905</v>
      </c>
      <c r="AC683" t="s">
        <v>74</v>
      </c>
      <c r="AD683" t="s">
        <v>74</v>
      </c>
      <c r="AE683" t="s">
        <v>74</v>
      </c>
      <c r="AF683" t="s">
        <v>74</v>
      </c>
      <c r="AG683">
        <v>42</v>
      </c>
      <c r="AH683">
        <v>12</v>
      </c>
      <c r="AI683">
        <v>14</v>
      </c>
      <c r="AJ683">
        <v>0</v>
      </c>
      <c r="AK683">
        <v>11</v>
      </c>
      <c r="AL683" t="s">
        <v>1592</v>
      </c>
      <c r="AM683" t="s">
        <v>1593</v>
      </c>
      <c r="AN683" t="s">
        <v>2512</v>
      </c>
      <c r="AO683" t="s">
        <v>2173</v>
      </c>
      <c r="AP683" t="s">
        <v>74</v>
      </c>
      <c r="AQ683" t="s">
        <v>74</v>
      </c>
      <c r="AR683" t="s">
        <v>2175</v>
      </c>
      <c r="AS683" t="s">
        <v>2176</v>
      </c>
      <c r="AT683" t="s">
        <v>9849</v>
      </c>
      <c r="AU683">
        <v>2007</v>
      </c>
      <c r="AV683">
        <v>150</v>
      </c>
      <c r="AW683">
        <v>6</v>
      </c>
      <c r="AX683" t="s">
        <v>74</v>
      </c>
      <c r="AY683" t="s">
        <v>74</v>
      </c>
      <c r="AZ683" t="s">
        <v>74</v>
      </c>
      <c r="BA683" t="s">
        <v>74</v>
      </c>
      <c r="BB683">
        <v>1061</v>
      </c>
      <c r="BC683">
        <v>1071</v>
      </c>
      <c r="BD683" t="s">
        <v>74</v>
      </c>
      <c r="BE683" t="s">
        <v>10906</v>
      </c>
      <c r="BF683" t="str">
        <f>HYPERLINK("http://dx.doi.org/10.1007/s00227-006-0423-0","http://dx.doi.org/10.1007/s00227-006-0423-0")</f>
        <v>http://dx.doi.org/10.1007/s00227-006-0423-0</v>
      </c>
      <c r="BG683" t="s">
        <v>74</v>
      </c>
      <c r="BH683" t="s">
        <v>74</v>
      </c>
      <c r="BI683">
        <v>11</v>
      </c>
      <c r="BJ683" t="s">
        <v>2178</v>
      </c>
      <c r="BK683" t="s">
        <v>98</v>
      </c>
      <c r="BL683" t="s">
        <v>2178</v>
      </c>
      <c r="BM683" t="s">
        <v>10894</v>
      </c>
      <c r="BN683" t="s">
        <v>74</v>
      </c>
      <c r="BO683" t="s">
        <v>74</v>
      </c>
      <c r="BP683" t="s">
        <v>74</v>
      </c>
      <c r="BQ683" t="s">
        <v>74</v>
      </c>
      <c r="BR683" t="s">
        <v>101</v>
      </c>
      <c r="BS683" t="s">
        <v>10907</v>
      </c>
      <c r="BT683" t="str">
        <f>HYPERLINK("https%3A%2F%2Fwww.webofscience.com%2Fwos%2Fwoscc%2Ffull-record%2FWOS:000244454900002","View Full Record in Web of Science")</f>
        <v>View Full Record in Web of Science</v>
      </c>
    </row>
    <row r="684" spans="1:72" x14ac:dyDescent="0.15">
      <c r="A684" t="s">
        <v>72</v>
      </c>
      <c r="B684" t="s">
        <v>10908</v>
      </c>
      <c r="C684" t="s">
        <v>74</v>
      </c>
      <c r="D684" t="s">
        <v>74</v>
      </c>
      <c r="E684" t="s">
        <v>74</v>
      </c>
      <c r="F684" t="s">
        <v>10909</v>
      </c>
      <c r="G684" t="s">
        <v>74</v>
      </c>
      <c r="H684" t="s">
        <v>74</v>
      </c>
      <c r="I684" t="s">
        <v>10910</v>
      </c>
      <c r="J684" t="s">
        <v>2161</v>
      </c>
      <c r="K684" t="s">
        <v>74</v>
      </c>
      <c r="L684" t="s">
        <v>74</v>
      </c>
      <c r="M684" t="s">
        <v>78</v>
      </c>
      <c r="N684" t="s">
        <v>79</v>
      </c>
      <c r="O684" t="s">
        <v>74</v>
      </c>
      <c r="P684" t="s">
        <v>74</v>
      </c>
      <c r="Q684" t="s">
        <v>74</v>
      </c>
      <c r="R684" t="s">
        <v>74</v>
      </c>
      <c r="S684" t="s">
        <v>74</v>
      </c>
      <c r="T684" t="s">
        <v>74</v>
      </c>
      <c r="U684" t="s">
        <v>10911</v>
      </c>
      <c r="V684" t="s">
        <v>10912</v>
      </c>
      <c r="W684" t="s">
        <v>10913</v>
      </c>
      <c r="X684" t="s">
        <v>10914</v>
      </c>
      <c r="Y684" t="s">
        <v>10915</v>
      </c>
      <c r="Z684" t="s">
        <v>10916</v>
      </c>
      <c r="AA684" t="s">
        <v>74</v>
      </c>
      <c r="AB684" t="s">
        <v>74</v>
      </c>
      <c r="AC684" t="s">
        <v>2405</v>
      </c>
      <c r="AD684" t="s">
        <v>140</v>
      </c>
      <c r="AE684" t="s">
        <v>74</v>
      </c>
      <c r="AF684" t="s">
        <v>74</v>
      </c>
      <c r="AG684">
        <v>40</v>
      </c>
      <c r="AH684">
        <v>46</v>
      </c>
      <c r="AI684">
        <v>46</v>
      </c>
      <c r="AJ684">
        <v>0</v>
      </c>
      <c r="AK684">
        <v>16</v>
      </c>
      <c r="AL684" t="s">
        <v>1592</v>
      </c>
      <c r="AM684" t="s">
        <v>1593</v>
      </c>
      <c r="AN684" t="s">
        <v>2512</v>
      </c>
      <c r="AO684" t="s">
        <v>2173</v>
      </c>
      <c r="AP684" t="s">
        <v>74</v>
      </c>
      <c r="AQ684" t="s">
        <v>74</v>
      </c>
      <c r="AR684" t="s">
        <v>2175</v>
      </c>
      <c r="AS684" t="s">
        <v>2176</v>
      </c>
      <c r="AT684" t="s">
        <v>9849</v>
      </c>
      <c r="AU684">
        <v>2007</v>
      </c>
      <c r="AV684">
        <v>150</v>
      </c>
      <c r="AW684">
        <v>6</v>
      </c>
      <c r="AX684" t="s">
        <v>74</v>
      </c>
      <c r="AY684" t="s">
        <v>74</v>
      </c>
      <c r="AZ684" t="s">
        <v>74</v>
      </c>
      <c r="BA684" t="s">
        <v>74</v>
      </c>
      <c r="BB684">
        <v>1191</v>
      </c>
      <c r="BC684">
        <v>1197</v>
      </c>
      <c r="BD684" t="s">
        <v>74</v>
      </c>
      <c r="BE684" t="s">
        <v>10917</v>
      </c>
      <c r="BF684" t="str">
        <f>HYPERLINK("http://dx.doi.org/10.1007/s00227-006-0428-8","http://dx.doi.org/10.1007/s00227-006-0428-8")</f>
        <v>http://dx.doi.org/10.1007/s00227-006-0428-8</v>
      </c>
      <c r="BG684" t="s">
        <v>74</v>
      </c>
      <c r="BH684" t="s">
        <v>74</v>
      </c>
      <c r="BI684">
        <v>7</v>
      </c>
      <c r="BJ684" t="s">
        <v>2178</v>
      </c>
      <c r="BK684" t="s">
        <v>98</v>
      </c>
      <c r="BL684" t="s">
        <v>2178</v>
      </c>
      <c r="BM684" t="s">
        <v>10894</v>
      </c>
      <c r="BN684" t="s">
        <v>74</v>
      </c>
      <c r="BO684" t="s">
        <v>74</v>
      </c>
      <c r="BP684" t="s">
        <v>74</v>
      </c>
      <c r="BQ684" t="s">
        <v>74</v>
      </c>
      <c r="BR684" t="s">
        <v>101</v>
      </c>
      <c r="BS684" t="s">
        <v>10918</v>
      </c>
      <c r="BT684" t="str">
        <f>HYPERLINK("https%3A%2F%2Fwww.webofscience.com%2Fwos%2Fwoscc%2Ffull-record%2FWOS:000244454900015","View Full Record in Web of Science")</f>
        <v>View Full Record in Web of Science</v>
      </c>
    </row>
    <row r="685" spans="1:72" x14ac:dyDescent="0.15">
      <c r="A685" t="s">
        <v>72</v>
      </c>
      <c r="B685" t="s">
        <v>10919</v>
      </c>
      <c r="C685" t="s">
        <v>74</v>
      </c>
      <c r="D685" t="s">
        <v>74</v>
      </c>
      <c r="E685" t="s">
        <v>74</v>
      </c>
      <c r="F685" t="s">
        <v>10920</v>
      </c>
      <c r="G685" t="s">
        <v>74</v>
      </c>
      <c r="H685" t="s">
        <v>74</v>
      </c>
      <c r="I685" t="s">
        <v>10921</v>
      </c>
      <c r="J685" t="s">
        <v>2161</v>
      </c>
      <c r="K685" t="s">
        <v>74</v>
      </c>
      <c r="L685" t="s">
        <v>74</v>
      </c>
      <c r="M685" t="s">
        <v>78</v>
      </c>
      <c r="N685" t="s">
        <v>79</v>
      </c>
      <c r="O685" t="s">
        <v>74</v>
      </c>
      <c r="P685" t="s">
        <v>74</v>
      </c>
      <c r="Q685" t="s">
        <v>74</v>
      </c>
      <c r="R685" t="s">
        <v>74</v>
      </c>
      <c r="S685" t="s">
        <v>74</v>
      </c>
      <c r="T685" t="s">
        <v>74</v>
      </c>
      <c r="U685" t="s">
        <v>10922</v>
      </c>
      <c r="V685" t="s">
        <v>10923</v>
      </c>
      <c r="W685" t="s">
        <v>10924</v>
      </c>
      <c r="X685" t="s">
        <v>10925</v>
      </c>
      <c r="Y685" t="s">
        <v>10926</v>
      </c>
      <c r="Z685" t="s">
        <v>10927</v>
      </c>
      <c r="AA685" t="s">
        <v>10928</v>
      </c>
      <c r="AB685" t="s">
        <v>10929</v>
      </c>
      <c r="AC685" t="s">
        <v>74</v>
      </c>
      <c r="AD685" t="s">
        <v>74</v>
      </c>
      <c r="AE685" t="s">
        <v>74</v>
      </c>
      <c r="AF685" t="s">
        <v>74</v>
      </c>
      <c r="AG685">
        <v>75</v>
      </c>
      <c r="AH685">
        <v>67</v>
      </c>
      <c r="AI685">
        <v>70</v>
      </c>
      <c r="AJ685">
        <v>1</v>
      </c>
      <c r="AK685">
        <v>28</v>
      </c>
      <c r="AL685" t="s">
        <v>2170</v>
      </c>
      <c r="AM685" t="s">
        <v>2171</v>
      </c>
      <c r="AN685" t="s">
        <v>2172</v>
      </c>
      <c r="AO685" t="s">
        <v>2173</v>
      </c>
      <c r="AP685" t="s">
        <v>2174</v>
      </c>
      <c r="AQ685" t="s">
        <v>74</v>
      </c>
      <c r="AR685" t="s">
        <v>2175</v>
      </c>
      <c r="AS685" t="s">
        <v>2176</v>
      </c>
      <c r="AT685" t="s">
        <v>9849</v>
      </c>
      <c r="AU685">
        <v>2007</v>
      </c>
      <c r="AV685">
        <v>150</v>
      </c>
      <c r="AW685">
        <v>6</v>
      </c>
      <c r="AX685" t="s">
        <v>74</v>
      </c>
      <c r="AY685" t="s">
        <v>74</v>
      </c>
      <c r="AZ685" t="s">
        <v>74</v>
      </c>
      <c r="BA685" t="s">
        <v>74</v>
      </c>
      <c r="BB685">
        <v>1441</v>
      </c>
      <c r="BC685">
        <v>1452</v>
      </c>
      <c r="BD685" t="s">
        <v>74</v>
      </c>
      <c r="BE685" t="s">
        <v>10930</v>
      </c>
      <c r="BF685" t="str">
        <f>HYPERLINK("http://dx.doi.org/10.1007/s00227-006-0417-y","http://dx.doi.org/10.1007/s00227-006-0417-y")</f>
        <v>http://dx.doi.org/10.1007/s00227-006-0417-y</v>
      </c>
      <c r="BG685" t="s">
        <v>74</v>
      </c>
      <c r="BH685" t="s">
        <v>74</v>
      </c>
      <c r="BI685">
        <v>12</v>
      </c>
      <c r="BJ685" t="s">
        <v>2178</v>
      </c>
      <c r="BK685" t="s">
        <v>98</v>
      </c>
      <c r="BL685" t="s">
        <v>2178</v>
      </c>
      <c r="BM685" t="s">
        <v>10894</v>
      </c>
      <c r="BN685" t="s">
        <v>74</v>
      </c>
      <c r="BO685" t="s">
        <v>74</v>
      </c>
      <c r="BP685" t="s">
        <v>74</v>
      </c>
      <c r="BQ685" t="s">
        <v>74</v>
      </c>
      <c r="BR685" t="s">
        <v>101</v>
      </c>
      <c r="BS685" t="s">
        <v>10931</v>
      </c>
      <c r="BT685" t="str">
        <f>HYPERLINK("https%3A%2F%2Fwww.webofscience.com%2Fwos%2Fwoscc%2Ffull-record%2FWOS:000244454900036","View Full Record in Web of Science")</f>
        <v>View Full Record in Web of Science</v>
      </c>
    </row>
    <row r="686" spans="1:72" x14ac:dyDescent="0.15">
      <c r="A686" t="s">
        <v>72</v>
      </c>
      <c r="B686" t="s">
        <v>10932</v>
      </c>
      <c r="C686" t="s">
        <v>74</v>
      </c>
      <c r="D686" t="s">
        <v>74</v>
      </c>
      <c r="E686" t="s">
        <v>74</v>
      </c>
      <c r="F686" t="s">
        <v>10933</v>
      </c>
      <c r="G686" t="s">
        <v>74</v>
      </c>
      <c r="H686" t="s">
        <v>74</v>
      </c>
      <c r="I686" t="s">
        <v>10934</v>
      </c>
      <c r="J686" t="s">
        <v>2236</v>
      </c>
      <c r="K686" t="s">
        <v>74</v>
      </c>
      <c r="L686" t="s">
        <v>74</v>
      </c>
      <c r="M686" t="s">
        <v>78</v>
      </c>
      <c r="N686" t="s">
        <v>79</v>
      </c>
      <c r="O686" t="s">
        <v>74</v>
      </c>
      <c r="P686" t="s">
        <v>74</v>
      </c>
      <c r="Q686" t="s">
        <v>74</v>
      </c>
      <c r="R686" t="s">
        <v>74</v>
      </c>
      <c r="S686" t="s">
        <v>74</v>
      </c>
      <c r="T686" t="s">
        <v>74</v>
      </c>
      <c r="U686" t="s">
        <v>74</v>
      </c>
      <c r="V686" t="s">
        <v>74</v>
      </c>
      <c r="W686" t="s">
        <v>10935</v>
      </c>
      <c r="X686" t="s">
        <v>10936</v>
      </c>
      <c r="Y686" t="s">
        <v>10937</v>
      </c>
      <c r="Z686" t="s">
        <v>10938</v>
      </c>
      <c r="AA686" t="s">
        <v>10939</v>
      </c>
      <c r="AB686" t="s">
        <v>10940</v>
      </c>
      <c r="AC686" t="s">
        <v>74</v>
      </c>
      <c r="AD686" t="s">
        <v>74</v>
      </c>
      <c r="AE686" t="s">
        <v>74</v>
      </c>
      <c r="AF686" t="s">
        <v>74</v>
      </c>
      <c r="AG686">
        <v>0</v>
      </c>
      <c r="AH686">
        <v>38</v>
      </c>
      <c r="AI686">
        <v>45</v>
      </c>
      <c r="AJ686">
        <v>0</v>
      </c>
      <c r="AK686">
        <v>7</v>
      </c>
      <c r="AL686" t="s">
        <v>1202</v>
      </c>
      <c r="AM686" t="s">
        <v>1203</v>
      </c>
      <c r="AN686" t="s">
        <v>1204</v>
      </c>
      <c r="AO686" t="s">
        <v>2243</v>
      </c>
      <c r="AP686" t="s">
        <v>2244</v>
      </c>
      <c r="AQ686" t="s">
        <v>74</v>
      </c>
      <c r="AR686" t="s">
        <v>2245</v>
      </c>
      <c r="AS686" t="s">
        <v>2246</v>
      </c>
      <c r="AT686" t="s">
        <v>9849</v>
      </c>
      <c r="AU686">
        <v>2007</v>
      </c>
      <c r="AV686">
        <v>42</v>
      </c>
      <c r="AW686">
        <v>3</v>
      </c>
      <c r="AX686" t="s">
        <v>74</v>
      </c>
      <c r="AY686" t="s">
        <v>74</v>
      </c>
      <c r="AZ686" t="s">
        <v>74</v>
      </c>
      <c r="BA686" t="s">
        <v>74</v>
      </c>
      <c r="BB686">
        <v>413</v>
      </c>
      <c r="BC686">
        <v>466</v>
      </c>
      <c r="BD686" t="s">
        <v>74</v>
      </c>
      <c r="BE686" t="s">
        <v>10941</v>
      </c>
      <c r="BF686" t="str">
        <f>HYPERLINK("http://dx.doi.org/10.1111/j.1945-5100.2007.tb00242.x","http://dx.doi.org/10.1111/j.1945-5100.2007.tb00242.x")</f>
        <v>http://dx.doi.org/10.1111/j.1945-5100.2007.tb00242.x</v>
      </c>
      <c r="BG686" t="s">
        <v>74</v>
      </c>
      <c r="BH686" t="s">
        <v>74</v>
      </c>
      <c r="BI686">
        <v>54</v>
      </c>
      <c r="BJ686" t="s">
        <v>688</v>
      </c>
      <c r="BK686" t="s">
        <v>98</v>
      </c>
      <c r="BL686" t="s">
        <v>688</v>
      </c>
      <c r="BM686" t="s">
        <v>10942</v>
      </c>
      <c r="BN686" t="s">
        <v>74</v>
      </c>
      <c r="BO686" t="s">
        <v>154</v>
      </c>
      <c r="BP686" t="s">
        <v>74</v>
      </c>
      <c r="BQ686" t="s">
        <v>74</v>
      </c>
      <c r="BR686" t="s">
        <v>101</v>
      </c>
      <c r="BS686" t="s">
        <v>10943</v>
      </c>
      <c r="BT686" t="str">
        <f>HYPERLINK("https%3A%2F%2Fwww.webofscience.com%2Fwos%2Fwoscc%2Ffull-record%2FWOS:000245219400008","View Full Record in Web of Science")</f>
        <v>View Full Record in Web of Science</v>
      </c>
    </row>
    <row r="687" spans="1:72" x14ac:dyDescent="0.15">
      <c r="A687" t="s">
        <v>72</v>
      </c>
      <c r="B687" t="s">
        <v>8180</v>
      </c>
      <c r="C687" t="s">
        <v>74</v>
      </c>
      <c r="D687" t="s">
        <v>74</v>
      </c>
      <c r="E687" t="s">
        <v>74</v>
      </c>
      <c r="F687" t="s">
        <v>10944</v>
      </c>
      <c r="G687" t="s">
        <v>74</v>
      </c>
      <c r="H687" t="s">
        <v>74</v>
      </c>
      <c r="I687" t="s">
        <v>10945</v>
      </c>
      <c r="J687" t="s">
        <v>351</v>
      </c>
      <c r="K687" t="s">
        <v>74</v>
      </c>
      <c r="L687" t="s">
        <v>74</v>
      </c>
      <c r="M687" t="s">
        <v>78</v>
      </c>
      <c r="N687" t="s">
        <v>229</v>
      </c>
      <c r="O687" t="s">
        <v>74</v>
      </c>
      <c r="P687" t="s">
        <v>74</v>
      </c>
      <c r="Q687" t="s">
        <v>74</v>
      </c>
      <c r="R687" t="s">
        <v>74</v>
      </c>
      <c r="S687" t="s">
        <v>74</v>
      </c>
      <c r="T687" t="s">
        <v>74</v>
      </c>
      <c r="U687" t="s">
        <v>74</v>
      </c>
      <c r="V687" t="s">
        <v>74</v>
      </c>
      <c r="W687" t="s">
        <v>74</v>
      </c>
      <c r="X687" t="s">
        <v>74</v>
      </c>
      <c r="Y687" t="s">
        <v>74</v>
      </c>
      <c r="Z687" t="s">
        <v>74</v>
      </c>
      <c r="AA687" t="s">
        <v>74</v>
      </c>
      <c r="AB687" t="s">
        <v>74</v>
      </c>
      <c r="AC687" t="s">
        <v>74</v>
      </c>
      <c r="AD687" t="s">
        <v>74</v>
      </c>
      <c r="AE687" t="s">
        <v>74</v>
      </c>
      <c r="AF687" t="s">
        <v>74</v>
      </c>
      <c r="AG687">
        <v>0</v>
      </c>
      <c r="AH687">
        <v>2</v>
      </c>
      <c r="AI687">
        <v>2</v>
      </c>
      <c r="AJ687">
        <v>0</v>
      </c>
      <c r="AK687">
        <v>0</v>
      </c>
      <c r="AL687" t="s">
        <v>362</v>
      </c>
      <c r="AM687" t="s">
        <v>363</v>
      </c>
      <c r="AN687" t="s">
        <v>364</v>
      </c>
      <c r="AO687" t="s">
        <v>365</v>
      </c>
      <c r="AP687" t="s">
        <v>74</v>
      </c>
      <c r="AQ687" t="s">
        <v>74</v>
      </c>
      <c r="AR687" t="s">
        <v>351</v>
      </c>
      <c r="AS687" t="s">
        <v>367</v>
      </c>
      <c r="AT687" t="s">
        <v>10714</v>
      </c>
      <c r="AU687">
        <v>2007</v>
      </c>
      <c r="AV687">
        <v>446</v>
      </c>
      <c r="AW687">
        <v>7131</v>
      </c>
      <c r="AX687" t="s">
        <v>74</v>
      </c>
      <c r="AY687" t="s">
        <v>74</v>
      </c>
      <c r="AZ687" t="s">
        <v>74</v>
      </c>
      <c r="BA687" t="s">
        <v>74</v>
      </c>
      <c r="BB687">
        <v>9</v>
      </c>
      <c r="BC687">
        <v>9</v>
      </c>
      <c r="BD687" t="s">
        <v>74</v>
      </c>
      <c r="BE687" t="s">
        <v>10946</v>
      </c>
      <c r="BF687" t="str">
        <f>HYPERLINK("http://dx.doi.org/10.1038/446009a","http://dx.doi.org/10.1038/446009a")</f>
        <v>http://dx.doi.org/10.1038/446009a</v>
      </c>
      <c r="BG687" t="s">
        <v>74</v>
      </c>
      <c r="BH687" t="s">
        <v>74</v>
      </c>
      <c r="BI687">
        <v>1</v>
      </c>
      <c r="BJ687" t="s">
        <v>241</v>
      </c>
      <c r="BK687" t="s">
        <v>98</v>
      </c>
      <c r="BL687" t="s">
        <v>242</v>
      </c>
      <c r="BM687" t="s">
        <v>10947</v>
      </c>
      <c r="BN687">
        <v>17330010</v>
      </c>
      <c r="BO687" t="s">
        <v>154</v>
      </c>
      <c r="BP687" t="s">
        <v>74</v>
      </c>
      <c r="BQ687" t="s">
        <v>74</v>
      </c>
      <c r="BR687" t="s">
        <v>101</v>
      </c>
      <c r="BS687" t="s">
        <v>10948</v>
      </c>
      <c r="BT687" t="str">
        <f>HYPERLINK("https%3A%2F%2Fwww.webofscience.com%2Fwos%2Fwoscc%2Ffull-record%2FWOS:000244525600007","View Full Record in Web of Science")</f>
        <v>View Full Record in Web of Science</v>
      </c>
    </row>
    <row r="688" spans="1:72" x14ac:dyDescent="0.15">
      <c r="A688" t="s">
        <v>5932</v>
      </c>
      <c r="B688" t="s">
        <v>10949</v>
      </c>
      <c r="C688" t="s">
        <v>74</v>
      </c>
      <c r="D688" t="s">
        <v>74</v>
      </c>
      <c r="E688" t="s">
        <v>74</v>
      </c>
      <c r="F688" t="s">
        <v>10950</v>
      </c>
      <c r="G688" t="s">
        <v>74</v>
      </c>
      <c r="H688" t="s">
        <v>10951</v>
      </c>
      <c r="I688" t="s">
        <v>10952</v>
      </c>
      <c r="J688" t="s">
        <v>5937</v>
      </c>
      <c r="K688" t="s">
        <v>74</v>
      </c>
      <c r="L688" t="s">
        <v>74</v>
      </c>
      <c r="M688" t="s">
        <v>78</v>
      </c>
      <c r="N688" t="s">
        <v>5938</v>
      </c>
      <c r="O688" t="s">
        <v>10953</v>
      </c>
      <c r="P688" t="s">
        <v>10954</v>
      </c>
      <c r="Q688" t="s">
        <v>10955</v>
      </c>
      <c r="R688" t="s">
        <v>74</v>
      </c>
      <c r="S688" t="s">
        <v>74</v>
      </c>
      <c r="T688" t="s">
        <v>74</v>
      </c>
      <c r="U688" t="s">
        <v>74</v>
      </c>
      <c r="V688" t="s">
        <v>10956</v>
      </c>
      <c r="W688" t="s">
        <v>10957</v>
      </c>
      <c r="X688" t="s">
        <v>5944</v>
      </c>
      <c r="Y688" t="s">
        <v>10958</v>
      </c>
      <c r="Z688" t="s">
        <v>74</v>
      </c>
      <c r="AA688" t="s">
        <v>10959</v>
      </c>
      <c r="AB688" t="s">
        <v>10960</v>
      </c>
      <c r="AC688" t="s">
        <v>74</v>
      </c>
      <c r="AD688" t="s">
        <v>74</v>
      </c>
      <c r="AE688" t="s">
        <v>74</v>
      </c>
      <c r="AF688" t="s">
        <v>74</v>
      </c>
      <c r="AG688">
        <v>6</v>
      </c>
      <c r="AH688">
        <v>2</v>
      </c>
      <c r="AI688">
        <v>3</v>
      </c>
      <c r="AJ688">
        <v>0</v>
      </c>
      <c r="AK688">
        <v>1</v>
      </c>
      <c r="AL688" t="s">
        <v>592</v>
      </c>
      <c r="AM688" t="s">
        <v>273</v>
      </c>
      <c r="AN688" t="s">
        <v>593</v>
      </c>
      <c r="AO688" t="s">
        <v>5947</v>
      </c>
      <c r="AP688" t="s">
        <v>74</v>
      </c>
      <c r="AQ688" t="s">
        <v>74</v>
      </c>
      <c r="AR688" t="s">
        <v>5949</v>
      </c>
      <c r="AS688" t="s">
        <v>5950</v>
      </c>
      <c r="AT688" t="s">
        <v>9849</v>
      </c>
      <c r="AU688">
        <v>2007</v>
      </c>
      <c r="AV688">
        <v>165</v>
      </c>
      <c r="AW688" t="s">
        <v>74</v>
      </c>
      <c r="AX688" t="s">
        <v>74</v>
      </c>
      <c r="AY688" t="s">
        <v>74</v>
      </c>
      <c r="AZ688" t="s">
        <v>74</v>
      </c>
      <c r="BA688" t="s">
        <v>74</v>
      </c>
      <c r="BB688">
        <v>196</v>
      </c>
      <c r="BC688">
        <v>199</v>
      </c>
      <c r="BD688" t="s">
        <v>74</v>
      </c>
      <c r="BE688" t="s">
        <v>10961</v>
      </c>
      <c r="BF688" t="str">
        <f>HYPERLINK("http://dx.doi.org/10.1016/j.nuclphysbps.2006.11.035","http://dx.doi.org/10.1016/j.nuclphysbps.2006.11.035")</f>
        <v>http://dx.doi.org/10.1016/j.nuclphysbps.2006.11.035</v>
      </c>
      <c r="BG688" t="s">
        <v>74</v>
      </c>
      <c r="BH688" t="s">
        <v>74</v>
      </c>
      <c r="BI688">
        <v>4</v>
      </c>
      <c r="BJ688" t="s">
        <v>5952</v>
      </c>
      <c r="BK688" t="s">
        <v>5953</v>
      </c>
      <c r="BL688" t="s">
        <v>4084</v>
      </c>
      <c r="BM688" t="s">
        <v>10962</v>
      </c>
      <c r="BN688" t="s">
        <v>74</v>
      </c>
      <c r="BO688" t="s">
        <v>74</v>
      </c>
      <c r="BP688" t="s">
        <v>74</v>
      </c>
      <c r="BQ688" t="s">
        <v>74</v>
      </c>
      <c r="BR688" t="s">
        <v>101</v>
      </c>
      <c r="BS688" t="s">
        <v>10963</v>
      </c>
      <c r="BT688" t="str">
        <f>HYPERLINK("https%3A%2F%2Fwww.webofscience.com%2Fwos%2Fwoscc%2Ffull-record%2FWOS:000245047800028","View Full Record in Web of Science")</f>
        <v>View Full Record in Web of Science</v>
      </c>
    </row>
    <row r="689" spans="1:72" x14ac:dyDescent="0.15">
      <c r="A689" t="s">
        <v>72</v>
      </c>
      <c r="B689" t="s">
        <v>10964</v>
      </c>
      <c r="C689" t="s">
        <v>74</v>
      </c>
      <c r="D689" t="s">
        <v>74</v>
      </c>
      <c r="E689" t="s">
        <v>74</v>
      </c>
      <c r="F689" t="s">
        <v>10965</v>
      </c>
      <c r="G689" t="s">
        <v>74</v>
      </c>
      <c r="H689" t="s">
        <v>74</v>
      </c>
      <c r="I689" t="s">
        <v>10966</v>
      </c>
      <c r="J689" t="s">
        <v>7826</v>
      </c>
      <c r="K689" t="s">
        <v>74</v>
      </c>
      <c r="L689" t="s">
        <v>74</v>
      </c>
      <c r="M689" t="s">
        <v>78</v>
      </c>
      <c r="N689" t="s">
        <v>79</v>
      </c>
      <c r="O689" t="s">
        <v>74</v>
      </c>
      <c r="P689" t="s">
        <v>74</v>
      </c>
      <c r="Q689" t="s">
        <v>74</v>
      </c>
      <c r="R689" t="s">
        <v>74</v>
      </c>
      <c r="S689" t="s">
        <v>74</v>
      </c>
      <c r="T689" t="s">
        <v>10967</v>
      </c>
      <c r="U689" t="s">
        <v>10968</v>
      </c>
      <c r="V689" t="s">
        <v>10969</v>
      </c>
      <c r="W689" t="s">
        <v>10970</v>
      </c>
      <c r="X689" t="s">
        <v>10971</v>
      </c>
      <c r="Y689" t="s">
        <v>10972</v>
      </c>
      <c r="Z689" t="s">
        <v>10973</v>
      </c>
      <c r="AA689" t="s">
        <v>74</v>
      </c>
      <c r="AB689" t="s">
        <v>74</v>
      </c>
      <c r="AC689" t="s">
        <v>74</v>
      </c>
      <c r="AD689" t="s">
        <v>74</v>
      </c>
      <c r="AE689" t="s">
        <v>74</v>
      </c>
      <c r="AF689" t="s">
        <v>74</v>
      </c>
      <c r="AG689">
        <v>55</v>
      </c>
      <c r="AH689">
        <v>81</v>
      </c>
      <c r="AI689">
        <v>84</v>
      </c>
      <c r="AJ689">
        <v>0</v>
      </c>
      <c r="AK689">
        <v>48</v>
      </c>
      <c r="AL689" t="s">
        <v>1592</v>
      </c>
      <c r="AM689" t="s">
        <v>1593</v>
      </c>
      <c r="AN689" t="s">
        <v>1594</v>
      </c>
      <c r="AO689" t="s">
        <v>7835</v>
      </c>
      <c r="AP689" t="s">
        <v>7836</v>
      </c>
      <c r="AQ689" t="s">
        <v>74</v>
      </c>
      <c r="AR689" t="s">
        <v>7826</v>
      </c>
      <c r="AS689" t="s">
        <v>7837</v>
      </c>
      <c r="AT689" t="s">
        <v>9849</v>
      </c>
      <c r="AU689">
        <v>2007</v>
      </c>
      <c r="AV689">
        <v>225</v>
      </c>
      <c r="AW689">
        <v>4</v>
      </c>
      <c r="AX689" t="s">
        <v>74</v>
      </c>
      <c r="AY689" t="s">
        <v>74</v>
      </c>
      <c r="AZ689" t="s">
        <v>74</v>
      </c>
      <c r="BA689" t="s">
        <v>74</v>
      </c>
      <c r="BB689">
        <v>991</v>
      </c>
      <c r="BC689">
        <v>1000</v>
      </c>
      <c r="BD689" t="s">
        <v>74</v>
      </c>
      <c r="BE689" t="s">
        <v>10974</v>
      </c>
      <c r="BF689" t="str">
        <f>HYPERLINK("http://dx.doi.org/10.1007/s00425-006-0406-x","http://dx.doi.org/10.1007/s00425-006-0406-x")</f>
        <v>http://dx.doi.org/10.1007/s00425-006-0406-x</v>
      </c>
      <c r="BG689" t="s">
        <v>74</v>
      </c>
      <c r="BH689" t="s">
        <v>74</v>
      </c>
      <c r="BI689">
        <v>10</v>
      </c>
      <c r="BJ689" t="s">
        <v>3433</v>
      </c>
      <c r="BK689" t="s">
        <v>98</v>
      </c>
      <c r="BL689" t="s">
        <v>3433</v>
      </c>
      <c r="BM689" t="s">
        <v>10975</v>
      </c>
      <c r="BN689">
        <v>17039372</v>
      </c>
      <c r="BO689" t="s">
        <v>74</v>
      </c>
      <c r="BP689" t="s">
        <v>74</v>
      </c>
      <c r="BQ689" t="s">
        <v>74</v>
      </c>
      <c r="BR689" t="s">
        <v>101</v>
      </c>
      <c r="BS689" t="s">
        <v>10976</v>
      </c>
      <c r="BT689" t="str">
        <f>HYPERLINK("https%3A%2F%2Fwww.webofscience.com%2Fwos%2Fwoscc%2Ffull-record%2FWOS:000244303900017","View Full Record in Web of Science")</f>
        <v>View Full Record in Web of Science</v>
      </c>
    </row>
    <row r="690" spans="1:72" x14ac:dyDescent="0.15">
      <c r="A690" t="s">
        <v>72</v>
      </c>
      <c r="B690" t="s">
        <v>10977</v>
      </c>
      <c r="C690" t="s">
        <v>74</v>
      </c>
      <c r="D690" t="s">
        <v>74</v>
      </c>
      <c r="E690" t="s">
        <v>74</v>
      </c>
      <c r="F690" t="s">
        <v>10978</v>
      </c>
      <c r="G690" t="s">
        <v>74</v>
      </c>
      <c r="H690" t="s">
        <v>74</v>
      </c>
      <c r="I690" t="s">
        <v>10979</v>
      </c>
      <c r="J690" t="s">
        <v>2434</v>
      </c>
      <c r="K690" t="s">
        <v>74</v>
      </c>
      <c r="L690" t="s">
        <v>74</v>
      </c>
      <c r="M690" t="s">
        <v>78</v>
      </c>
      <c r="N690" t="s">
        <v>79</v>
      </c>
      <c r="O690" t="s">
        <v>74</v>
      </c>
      <c r="P690" t="s">
        <v>74</v>
      </c>
      <c r="Q690" t="s">
        <v>74</v>
      </c>
      <c r="R690" t="s">
        <v>74</v>
      </c>
      <c r="S690" t="s">
        <v>74</v>
      </c>
      <c r="T690" t="s">
        <v>10980</v>
      </c>
      <c r="U690" t="s">
        <v>10981</v>
      </c>
      <c r="V690" t="s">
        <v>10982</v>
      </c>
      <c r="W690" t="s">
        <v>10983</v>
      </c>
      <c r="X690" t="s">
        <v>1091</v>
      </c>
      <c r="Y690" t="s">
        <v>10984</v>
      </c>
      <c r="Z690" t="s">
        <v>1093</v>
      </c>
      <c r="AA690" t="s">
        <v>74</v>
      </c>
      <c r="AB690" t="s">
        <v>74</v>
      </c>
      <c r="AC690" t="s">
        <v>74</v>
      </c>
      <c r="AD690" t="s">
        <v>74</v>
      </c>
      <c r="AE690" t="s">
        <v>74</v>
      </c>
      <c r="AF690" t="s">
        <v>74</v>
      </c>
      <c r="AG690">
        <v>79</v>
      </c>
      <c r="AH690">
        <v>8</v>
      </c>
      <c r="AI690">
        <v>8</v>
      </c>
      <c r="AJ690">
        <v>1</v>
      </c>
      <c r="AK690">
        <v>13</v>
      </c>
      <c r="AL690" t="s">
        <v>1592</v>
      </c>
      <c r="AM690" t="s">
        <v>1593</v>
      </c>
      <c r="AN690" t="s">
        <v>2406</v>
      </c>
      <c r="AO690" t="s">
        <v>2442</v>
      </c>
      <c r="AP690" t="s">
        <v>2443</v>
      </c>
      <c r="AQ690" t="s">
        <v>74</v>
      </c>
      <c r="AR690" t="s">
        <v>2444</v>
      </c>
      <c r="AS690" t="s">
        <v>2445</v>
      </c>
      <c r="AT690" t="s">
        <v>9849</v>
      </c>
      <c r="AU690">
        <v>2007</v>
      </c>
      <c r="AV690">
        <v>30</v>
      </c>
      <c r="AW690">
        <v>4</v>
      </c>
      <c r="AX690" t="s">
        <v>74</v>
      </c>
      <c r="AY690" t="s">
        <v>74</v>
      </c>
      <c r="AZ690" t="s">
        <v>74</v>
      </c>
      <c r="BA690" t="s">
        <v>74</v>
      </c>
      <c r="BB690">
        <v>415</v>
      </c>
      <c r="BC690">
        <v>425</v>
      </c>
      <c r="BD690" t="s">
        <v>74</v>
      </c>
      <c r="BE690" t="s">
        <v>10985</v>
      </c>
      <c r="BF690" t="str">
        <f>HYPERLINK("http://dx.doi.org/10.1007/s00300-006-0198-2","http://dx.doi.org/10.1007/s00300-006-0198-2")</f>
        <v>http://dx.doi.org/10.1007/s00300-006-0198-2</v>
      </c>
      <c r="BG690" t="s">
        <v>74</v>
      </c>
      <c r="BH690" t="s">
        <v>74</v>
      </c>
      <c r="BI690">
        <v>11</v>
      </c>
      <c r="BJ690" t="s">
        <v>97</v>
      </c>
      <c r="BK690" t="s">
        <v>98</v>
      </c>
      <c r="BL690" t="s">
        <v>99</v>
      </c>
      <c r="BM690" t="s">
        <v>10986</v>
      </c>
      <c r="BN690" t="s">
        <v>74</v>
      </c>
      <c r="BO690" t="s">
        <v>1249</v>
      </c>
      <c r="BP690" t="s">
        <v>74</v>
      </c>
      <c r="BQ690" t="s">
        <v>74</v>
      </c>
      <c r="BR690" t="s">
        <v>101</v>
      </c>
      <c r="BS690" t="s">
        <v>10987</v>
      </c>
      <c r="BT690" t="str">
        <f>HYPERLINK("https%3A%2F%2Fwww.webofscience.com%2Fwos%2Fwoscc%2Ffull-record%2FWOS:000244095100003","View Full Record in Web of Science")</f>
        <v>View Full Record in Web of Science</v>
      </c>
    </row>
    <row r="691" spans="1:72" x14ac:dyDescent="0.15">
      <c r="A691" t="s">
        <v>72</v>
      </c>
      <c r="B691" t="s">
        <v>10988</v>
      </c>
      <c r="C691" t="s">
        <v>74</v>
      </c>
      <c r="D691" t="s">
        <v>74</v>
      </c>
      <c r="E691" t="s">
        <v>74</v>
      </c>
      <c r="F691" t="s">
        <v>10989</v>
      </c>
      <c r="G691" t="s">
        <v>74</v>
      </c>
      <c r="H691" t="s">
        <v>74</v>
      </c>
      <c r="I691" t="s">
        <v>10990</v>
      </c>
      <c r="J691" t="s">
        <v>2434</v>
      </c>
      <c r="K691" t="s">
        <v>74</v>
      </c>
      <c r="L691" t="s">
        <v>74</v>
      </c>
      <c r="M691" t="s">
        <v>78</v>
      </c>
      <c r="N691" t="s">
        <v>79</v>
      </c>
      <c r="O691" t="s">
        <v>74</v>
      </c>
      <c r="P691" t="s">
        <v>74</v>
      </c>
      <c r="Q691" t="s">
        <v>74</v>
      </c>
      <c r="R691" t="s">
        <v>74</v>
      </c>
      <c r="S691" t="s">
        <v>74</v>
      </c>
      <c r="T691" t="s">
        <v>74</v>
      </c>
      <c r="U691" t="s">
        <v>10991</v>
      </c>
      <c r="V691" t="s">
        <v>10992</v>
      </c>
      <c r="W691" t="s">
        <v>10993</v>
      </c>
      <c r="X691" t="s">
        <v>10994</v>
      </c>
      <c r="Y691" t="s">
        <v>10995</v>
      </c>
      <c r="Z691" t="s">
        <v>10996</v>
      </c>
      <c r="AA691" t="s">
        <v>74</v>
      </c>
      <c r="AB691" t="s">
        <v>74</v>
      </c>
      <c r="AC691" t="s">
        <v>1737</v>
      </c>
      <c r="AD691" t="s">
        <v>361</v>
      </c>
      <c r="AE691" t="s">
        <v>74</v>
      </c>
      <c r="AF691" t="s">
        <v>74</v>
      </c>
      <c r="AG691">
        <v>20</v>
      </c>
      <c r="AH691">
        <v>11</v>
      </c>
      <c r="AI691">
        <v>14</v>
      </c>
      <c r="AJ691">
        <v>0</v>
      </c>
      <c r="AK691">
        <v>20</v>
      </c>
      <c r="AL691" t="s">
        <v>1592</v>
      </c>
      <c r="AM691" t="s">
        <v>1593</v>
      </c>
      <c r="AN691" t="s">
        <v>2512</v>
      </c>
      <c r="AO691" t="s">
        <v>2442</v>
      </c>
      <c r="AP691" t="s">
        <v>74</v>
      </c>
      <c r="AQ691" t="s">
        <v>74</v>
      </c>
      <c r="AR691" t="s">
        <v>2444</v>
      </c>
      <c r="AS691" t="s">
        <v>2445</v>
      </c>
      <c r="AT691" t="s">
        <v>9849</v>
      </c>
      <c r="AU691">
        <v>2007</v>
      </c>
      <c r="AV691">
        <v>30</v>
      </c>
      <c r="AW691">
        <v>4</v>
      </c>
      <c r="AX691" t="s">
        <v>74</v>
      </c>
      <c r="AY691" t="s">
        <v>74</v>
      </c>
      <c r="AZ691" t="s">
        <v>74</v>
      </c>
      <c r="BA691" t="s">
        <v>74</v>
      </c>
      <c r="BB691">
        <v>437</v>
      </c>
      <c r="BC691">
        <v>442</v>
      </c>
      <c r="BD691" t="s">
        <v>74</v>
      </c>
      <c r="BE691" t="s">
        <v>10997</v>
      </c>
      <c r="BF691" t="str">
        <f>HYPERLINK("http://dx.doi.org/10.1007/s00300-006-0200-z","http://dx.doi.org/10.1007/s00300-006-0200-z")</f>
        <v>http://dx.doi.org/10.1007/s00300-006-0200-z</v>
      </c>
      <c r="BG691" t="s">
        <v>74</v>
      </c>
      <c r="BH691" t="s">
        <v>74</v>
      </c>
      <c r="BI691">
        <v>6</v>
      </c>
      <c r="BJ691" t="s">
        <v>97</v>
      </c>
      <c r="BK691" t="s">
        <v>98</v>
      </c>
      <c r="BL691" t="s">
        <v>99</v>
      </c>
      <c r="BM691" t="s">
        <v>10986</v>
      </c>
      <c r="BN691" t="s">
        <v>74</v>
      </c>
      <c r="BO691" t="s">
        <v>74</v>
      </c>
      <c r="BP691" t="s">
        <v>74</v>
      </c>
      <c r="BQ691" t="s">
        <v>74</v>
      </c>
      <c r="BR691" t="s">
        <v>101</v>
      </c>
      <c r="BS691" t="s">
        <v>10998</v>
      </c>
      <c r="BT691" t="str">
        <f>HYPERLINK("https%3A%2F%2Fwww.webofscience.com%2Fwos%2Fwoscc%2Ffull-record%2FWOS:000244095100005","View Full Record in Web of Science")</f>
        <v>View Full Record in Web of Science</v>
      </c>
    </row>
    <row r="692" spans="1:72" x14ac:dyDescent="0.15">
      <c r="A692" t="s">
        <v>72</v>
      </c>
      <c r="B692" t="s">
        <v>10999</v>
      </c>
      <c r="C692" t="s">
        <v>74</v>
      </c>
      <c r="D692" t="s">
        <v>74</v>
      </c>
      <c r="E692" t="s">
        <v>74</v>
      </c>
      <c r="F692" t="s">
        <v>11000</v>
      </c>
      <c r="G692" t="s">
        <v>74</v>
      </c>
      <c r="H692" t="s">
        <v>74</v>
      </c>
      <c r="I692" t="s">
        <v>11001</v>
      </c>
      <c r="J692" t="s">
        <v>2434</v>
      </c>
      <c r="K692" t="s">
        <v>74</v>
      </c>
      <c r="L692" t="s">
        <v>74</v>
      </c>
      <c r="M692" t="s">
        <v>78</v>
      </c>
      <c r="N692" t="s">
        <v>79</v>
      </c>
      <c r="O692" t="s">
        <v>74</v>
      </c>
      <c r="P692" t="s">
        <v>74</v>
      </c>
      <c r="Q692" t="s">
        <v>74</v>
      </c>
      <c r="R692" t="s">
        <v>74</v>
      </c>
      <c r="S692" t="s">
        <v>74</v>
      </c>
      <c r="T692" t="s">
        <v>74</v>
      </c>
      <c r="U692" t="s">
        <v>11002</v>
      </c>
      <c r="V692" t="s">
        <v>11003</v>
      </c>
      <c r="W692" t="s">
        <v>11004</v>
      </c>
      <c r="X692" t="s">
        <v>11005</v>
      </c>
      <c r="Y692" t="s">
        <v>11006</v>
      </c>
      <c r="Z692" t="s">
        <v>11007</v>
      </c>
      <c r="AA692" t="s">
        <v>11008</v>
      </c>
      <c r="AB692" t="s">
        <v>11009</v>
      </c>
      <c r="AC692" t="s">
        <v>74</v>
      </c>
      <c r="AD692" t="s">
        <v>74</v>
      </c>
      <c r="AE692" t="s">
        <v>74</v>
      </c>
      <c r="AF692" t="s">
        <v>74</v>
      </c>
      <c r="AG692">
        <v>29</v>
      </c>
      <c r="AH692">
        <v>17</v>
      </c>
      <c r="AI692">
        <v>18</v>
      </c>
      <c r="AJ692">
        <v>0</v>
      </c>
      <c r="AK692">
        <v>5</v>
      </c>
      <c r="AL692" t="s">
        <v>1592</v>
      </c>
      <c r="AM692" t="s">
        <v>1593</v>
      </c>
      <c r="AN692" t="s">
        <v>2512</v>
      </c>
      <c r="AO692" t="s">
        <v>2442</v>
      </c>
      <c r="AP692" t="s">
        <v>74</v>
      </c>
      <c r="AQ692" t="s">
        <v>74</v>
      </c>
      <c r="AR692" t="s">
        <v>2444</v>
      </c>
      <c r="AS692" t="s">
        <v>2445</v>
      </c>
      <c r="AT692" t="s">
        <v>9849</v>
      </c>
      <c r="AU692">
        <v>2007</v>
      </c>
      <c r="AV692">
        <v>30</v>
      </c>
      <c r="AW692">
        <v>4</v>
      </c>
      <c r="AX692" t="s">
        <v>74</v>
      </c>
      <c r="AY692" t="s">
        <v>74</v>
      </c>
      <c r="AZ692" t="s">
        <v>74</v>
      </c>
      <c r="BA692" t="s">
        <v>74</v>
      </c>
      <c r="BB692">
        <v>443</v>
      </c>
      <c r="BC692">
        <v>447</v>
      </c>
      <c r="BD692" t="s">
        <v>74</v>
      </c>
      <c r="BE692" t="s">
        <v>11010</v>
      </c>
      <c r="BF692" t="str">
        <f>HYPERLINK("http://dx.doi.org/10.1007/s00300-006-0201-y","http://dx.doi.org/10.1007/s00300-006-0201-y")</f>
        <v>http://dx.doi.org/10.1007/s00300-006-0201-y</v>
      </c>
      <c r="BG692" t="s">
        <v>74</v>
      </c>
      <c r="BH692" t="s">
        <v>74</v>
      </c>
      <c r="BI692">
        <v>5</v>
      </c>
      <c r="BJ692" t="s">
        <v>97</v>
      </c>
      <c r="BK692" t="s">
        <v>98</v>
      </c>
      <c r="BL692" t="s">
        <v>99</v>
      </c>
      <c r="BM692" t="s">
        <v>10986</v>
      </c>
      <c r="BN692" t="s">
        <v>74</v>
      </c>
      <c r="BO692" t="s">
        <v>74</v>
      </c>
      <c r="BP692" t="s">
        <v>74</v>
      </c>
      <c r="BQ692" t="s">
        <v>74</v>
      </c>
      <c r="BR692" t="s">
        <v>101</v>
      </c>
      <c r="BS692" t="s">
        <v>11011</v>
      </c>
      <c r="BT692" t="str">
        <f>HYPERLINK("https%3A%2F%2Fwww.webofscience.com%2Fwos%2Fwoscc%2Ffull-record%2FWOS:000244095100006","View Full Record in Web of Science")</f>
        <v>View Full Record in Web of Science</v>
      </c>
    </row>
    <row r="693" spans="1:72" x14ac:dyDescent="0.15">
      <c r="A693" t="s">
        <v>72</v>
      </c>
      <c r="B693" t="s">
        <v>11012</v>
      </c>
      <c r="C693" t="s">
        <v>74</v>
      </c>
      <c r="D693" t="s">
        <v>74</v>
      </c>
      <c r="E693" t="s">
        <v>74</v>
      </c>
      <c r="F693" t="s">
        <v>11013</v>
      </c>
      <c r="G693" t="s">
        <v>74</v>
      </c>
      <c r="H693" t="s">
        <v>74</v>
      </c>
      <c r="I693" t="s">
        <v>11014</v>
      </c>
      <c r="J693" t="s">
        <v>2434</v>
      </c>
      <c r="K693" t="s">
        <v>74</v>
      </c>
      <c r="L693" t="s">
        <v>74</v>
      </c>
      <c r="M693" t="s">
        <v>78</v>
      </c>
      <c r="N693" t="s">
        <v>79</v>
      </c>
      <c r="O693" t="s">
        <v>74</v>
      </c>
      <c r="P693" t="s">
        <v>74</v>
      </c>
      <c r="Q693" t="s">
        <v>74</v>
      </c>
      <c r="R693" t="s">
        <v>74</v>
      </c>
      <c r="S693" t="s">
        <v>74</v>
      </c>
      <c r="T693" t="s">
        <v>11015</v>
      </c>
      <c r="U693" t="s">
        <v>11016</v>
      </c>
      <c r="V693" t="s">
        <v>11017</v>
      </c>
      <c r="W693" t="s">
        <v>11018</v>
      </c>
      <c r="X693" t="s">
        <v>74</v>
      </c>
      <c r="Y693" t="s">
        <v>11019</v>
      </c>
      <c r="Z693" t="s">
        <v>11020</v>
      </c>
      <c r="AA693" t="s">
        <v>74</v>
      </c>
      <c r="AB693" t="s">
        <v>11021</v>
      </c>
      <c r="AC693" t="s">
        <v>74</v>
      </c>
      <c r="AD693" t="s">
        <v>74</v>
      </c>
      <c r="AE693" t="s">
        <v>74</v>
      </c>
      <c r="AF693" t="s">
        <v>74</v>
      </c>
      <c r="AG693">
        <v>26</v>
      </c>
      <c r="AH693">
        <v>30</v>
      </c>
      <c r="AI693">
        <v>32</v>
      </c>
      <c r="AJ693">
        <v>0</v>
      </c>
      <c r="AK693">
        <v>9</v>
      </c>
      <c r="AL693" t="s">
        <v>1592</v>
      </c>
      <c r="AM693" t="s">
        <v>1593</v>
      </c>
      <c r="AN693" t="s">
        <v>2406</v>
      </c>
      <c r="AO693" t="s">
        <v>2442</v>
      </c>
      <c r="AP693" t="s">
        <v>2443</v>
      </c>
      <c r="AQ693" t="s">
        <v>74</v>
      </c>
      <c r="AR693" t="s">
        <v>2444</v>
      </c>
      <c r="AS693" t="s">
        <v>2445</v>
      </c>
      <c r="AT693" t="s">
        <v>9849</v>
      </c>
      <c r="AU693">
        <v>2007</v>
      </c>
      <c r="AV693">
        <v>30</v>
      </c>
      <c r="AW693">
        <v>4</v>
      </c>
      <c r="AX693" t="s">
        <v>74</v>
      </c>
      <c r="AY693" t="s">
        <v>74</v>
      </c>
      <c r="AZ693" t="s">
        <v>74</v>
      </c>
      <c r="BA693" t="s">
        <v>74</v>
      </c>
      <c r="BB693">
        <v>449</v>
      </c>
      <c r="BC693">
        <v>457</v>
      </c>
      <c r="BD693" t="s">
        <v>74</v>
      </c>
      <c r="BE693" t="s">
        <v>11022</v>
      </c>
      <c r="BF693" t="str">
        <f>HYPERLINK("http://dx.doi.org/10.1007/s00300-006-0202-x","http://dx.doi.org/10.1007/s00300-006-0202-x")</f>
        <v>http://dx.doi.org/10.1007/s00300-006-0202-x</v>
      </c>
      <c r="BG693" t="s">
        <v>74</v>
      </c>
      <c r="BH693" t="s">
        <v>74</v>
      </c>
      <c r="BI693">
        <v>9</v>
      </c>
      <c r="BJ693" t="s">
        <v>97</v>
      </c>
      <c r="BK693" t="s">
        <v>98</v>
      </c>
      <c r="BL693" t="s">
        <v>99</v>
      </c>
      <c r="BM693" t="s">
        <v>10986</v>
      </c>
      <c r="BN693" t="s">
        <v>74</v>
      </c>
      <c r="BO693" t="s">
        <v>198</v>
      </c>
      <c r="BP693" t="s">
        <v>74</v>
      </c>
      <c r="BQ693" t="s">
        <v>74</v>
      </c>
      <c r="BR693" t="s">
        <v>101</v>
      </c>
      <c r="BS693" t="s">
        <v>11023</v>
      </c>
      <c r="BT693" t="str">
        <f>HYPERLINK("https%3A%2F%2Fwww.webofscience.com%2Fwos%2Fwoscc%2Ffull-record%2FWOS:000244095100007","View Full Record in Web of Science")</f>
        <v>View Full Record in Web of Science</v>
      </c>
    </row>
    <row r="694" spans="1:72" x14ac:dyDescent="0.15">
      <c r="A694" t="s">
        <v>72</v>
      </c>
      <c r="B694" t="s">
        <v>11024</v>
      </c>
      <c r="C694" t="s">
        <v>74</v>
      </c>
      <c r="D694" t="s">
        <v>74</v>
      </c>
      <c r="E694" t="s">
        <v>74</v>
      </c>
      <c r="F694" t="s">
        <v>11025</v>
      </c>
      <c r="G694" t="s">
        <v>74</v>
      </c>
      <c r="H694" t="s">
        <v>74</v>
      </c>
      <c r="I694" t="s">
        <v>11026</v>
      </c>
      <c r="J694" t="s">
        <v>2434</v>
      </c>
      <c r="K694" t="s">
        <v>74</v>
      </c>
      <c r="L694" t="s">
        <v>74</v>
      </c>
      <c r="M694" t="s">
        <v>78</v>
      </c>
      <c r="N694" t="s">
        <v>79</v>
      </c>
      <c r="O694" t="s">
        <v>74</v>
      </c>
      <c r="P694" t="s">
        <v>74</v>
      </c>
      <c r="Q694" t="s">
        <v>74</v>
      </c>
      <c r="R694" t="s">
        <v>74</v>
      </c>
      <c r="S694" t="s">
        <v>74</v>
      </c>
      <c r="T694" t="s">
        <v>74</v>
      </c>
      <c r="U694" t="s">
        <v>11027</v>
      </c>
      <c r="V694" t="s">
        <v>11028</v>
      </c>
      <c r="W694" t="s">
        <v>11029</v>
      </c>
      <c r="X694" t="s">
        <v>11030</v>
      </c>
      <c r="Y694" t="s">
        <v>11031</v>
      </c>
      <c r="Z694" t="s">
        <v>11032</v>
      </c>
      <c r="AA694" t="s">
        <v>11033</v>
      </c>
      <c r="AB694" t="s">
        <v>11034</v>
      </c>
      <c r="AC694" t="s">
        <v>74</v>
      </c>
      <c r="AD694" t="s">
        <v>74</v>
      </c>
      <c r="AE694" t="s">
        <v>74</v>
      </c>
      <c r="AF694" t="s">
        <v>74</v>
      </c>
      <c r="AG694">
        <v>65</v>
      </c>
      <c r="AH694">
        <v>37</v>
      </c>
      <c r="AI694">
        <v>39</v>
      </c>
      <c r="AJ694">
        <v>0</v>
      </c>
      <c r="AK694">
        <v>20</v>
      </c>
      <c r="AL694" t="s">
        <v>1592</v>
      </c>
      <c r="AM694" t="s">
        <v>1593</v>
      </c>
      <c r="AN694" t="s">
        <v>1594</v>
      </c>
      <c r="AO694" t="s">
        <v>2442</v>
      </c>
      <c r="AP694" t="s">
        <v>2443</v>
      </c>
      <c r="AQ694" t="s">
        <v>74</v>
      </c>
      <c r="AR694" t="s">
        <v>2444</v>
      </c>
      <c r="AS694" t="s">
        <v>2445</v>
      </c>
      <c r="AT694" t="s">
        <v>9849</v>
      </c>
      <c r="AU694">
        <v>2007</v>
      </c>
      <c r="AV694">
        <v>30</v>
      </c>
      <c r="AW694">
        <v>4</v>
      </c>
      <c r="AX694" t="s">
        <v>74</v>
      </c>
      <c r="AY694" t="s">
        <v>74</v>
      </c>
      <c r="AZ694" t="s">
        <v>74</v>
      </c>
      <c r="BA694" t="s">
        <v>74</v>
      </c>
      <c r="BB694">
        <v>459</v>
      </c>
      <c r="BC694">
        <v>469</v>
      </c>
      <c r="BD694" t="s">
        <v>74</v>
      </c>
      <c r="BE694" t="s">
        <v>11035</v>
      </c>
      <c r="BF694" t="str">
        <f>HYPERLINK("http://dx.doi.org/10.1007/s00300-006-0203-9","http://dx.doi.org/10.1007/s00300-006-0203-9")</f>
        <v>http://dx.doi.org/10.1007/s00300-006-0203-9</v>
      </c>
      <c r="BG694" t="s">
        <v>74</v>
      </c>
      <c r="BH694" t="s">
        <v>74</v>
      </c>
      <c r="BI694">
        <v>11</v>
      </c>
      <c r="BJ694" t="s">
        <v>97</v>
      </c>
      <c r="BK694" t="s">
        <v>98</v>
      </c>
      <c r="BL694" t="s">
        <v>99</v>
      </c>
      <c r="BM694" t="s">
        <v>10986</v>
      </c>
      <c r="BN694" t="s">
        <v>74</v>
      </c>
      <c r="BO694" t="s">
        <v>74</v>
      </c>
      <c r="BP694" t="s">
        <v>74</v>
      </c>
      <c r="BQ694" t="s">
        <v>74</v>
      </c>
      <c r="BR694" t="s">
        <v>101</v>
      </c>
      <c r="BS694" t="s">
        <v>11036</v>
      </c>
      <c r="BT694" t="str">
        <f>HYPERLINK("https%3A%2F%2Fwww.webofscience.com%2Fwos%2Fwoscc%2Ffull-record%2FWOS:000244095100008","View Full Record in Web of Science")</f>
        <v>View Full Record in Web of Science</v>
      </c>
    </row>
    <row r="695" spans="1:72" x14ac:dyDescent="0.15">
      <c r="A695" t="s">
        <v>72</v>
      </c>
      <c r="B695" t="s">
        <v>11037</v>
      </c>
      <c r="C695" t="s">
        <v>74</v>
      </c>
      <c r="D695" t="s">
        <v>74</v>
      </c>
      <c r="E695" t="s">
        <v>74</v>
      </c>
      <c r="F695" t="s">
        <v>11038</v>
      </c>
      <c r="G695" t="s">
        <v>74</v>
      </c>
      <c r="H695" t="s">
        <v>74</v>
      </c>
      <c r="I695" t="s">
        <v>11039</v>
      </c>
      <c r="J695" t="s">
        <v>2434</v>
      </c>
      <c r="K695" t="s">
        <v>74</v>
      </c>
      <c r="L695" t="s">
        <v>74</v>
      </c>
      <c r="M695" t="s">
        <v>78</v>
      </c>
      <c r="N695" t="s">
        <v>79</v>
      </c>
      <c r="O695" t="s">
        <v>74</v>
      </c>
      <c r="P695" t="s">
        <v>74</v>
      </c>
      <c r="Q695" t="s">
        <v>74</v>
      </c>
      <c r="R695" t="s">
        <v>74</v>
      </c>
      <c r="S695" t="s">
        <v>74</v>
      </c>
      <c r="T695" t="s">
        <v>11040</v>
      </c>
      <c r="U695" t="s">
        <v>11041</v>
      </c>
      <c r="V695" t="s">
        <v>11042</v>
      </c>
      <c r="W695" t="s">
        <v>11043</v>
      </c>
      <c r="X695" t="s">
        <v>11044</v>
      </c>
      <c r="Y695" t="s">
        <v>11045</v>
      </c>
      <c r="Z695" t="s">
        <v>11046</v>
      </c>
      <c r="AA695" t="s">
        <v>11047</v>
      </c>
      <c r="AB695" t="s">
        <v>11048</v>
      </c>
      <c r="AC695" t="s">
        <v>74</v>
      </c>
      <c r="AD695" t="s">
        <v>74</v>
      </c>
      <c r="AE695" t="s">
        <v>74</v>
      </c>
      <c r="AF695" t="s">
        <v>74</v>
      </c>
      <c r="AG695">
        <v>42</v>
      </c>
      <c r="AH695">
        <v>24</v>
      </c>
      <c r="AI695">
        <v>25</v>
      </c>
      <c r="AJ695">
        <v>0</v>
      </c>
      <c r="AK695">
        <v>9</v>
      </c>
      <c r="AL695" t="s">
        <v>1592</v>
      </c>
      <c r="AM695" t="s">
        <v>1593</v>
      </c>
      <c r="AN695" t="s">
        <v>1594</v>
      </c>
      <c r="AO695" t="s">
        <v>2442</v>
      </c>
      <c r="AP695" t="s">
        <v>2443</v>
      </c>
      <c r="AQ695" t="s">
        <v>74</v>
      </c>
      <c r="AR695" t="s">
        <v>2444</v>
      </c>
      <c r="AS695" t="s">
        <v>2445</v>
      </c>
      <c r="AT695" t="s">
        <v>9849</v>
      </c>
      <c r="AU695">
        <v>2007</v>
      </c>
      <c r="AV695">
        <v>30</v>
      </c>
      <c r="AW695">
        <v>4</v>
      </c>
      <c r="AX695" t="s">
        <v>74</v>
      </c>
      <c r="AY695" t="s">
        <v>74</v>
      </c>
      <c r="AZ695" t="s">
        <v>74</v>
      </c>
      <c r="BA695" t="s">
        <v>74</v>
      </c>
      <c r="BB695">
        <v>471</v>
      </c>
      <c r="BC695">
        <v>476</v>
      </c>
      <c r="BD695" t="s">
        <v>74</v>
      </c>
      <c r="BE695" t="s">
        <v>11049</v>
      </c>
      <c r="BF695" t="str">
        <f>HYPERLINK("http://dx.doi.org/10.1007/s00300-006-0205-7","http://dx.doi.org/10.1007/s00300-006-0205-7")</f>
        <v>http://dx.doi.org/10.1007/s00300-006-0205-7</v>
      </c>
      <c r="BG695" t="s">
        <v>74</v>
      </c>
      <c r="BH695" t="s">
        <v>74</v>
      </c>
      <c r="BI695">
        <v>6</v>
      </c>
      <c r="BJ695" t="s">
        <v>97</v>
      </c>
      <c r="BK695" t="s">
        <v>98</v>
      </c>
      <c r="BL695" t="s">
        <v>99</v>
      </c>
      <c r="BM695" t="s">
        <v>10986</v>
      </c>
      <c r="BN695" t="s">
        <v>74</v>
      </c>
      <c r="BO695" t="s">
        <v>74</v>
      </c>
      <c r="BP695" t="s">
        <v>74</v>
      </c>
      <c r="BQ695" t="s">
        <v>74</v>
      </c>
      <c r="BR695" t="s">
        <v>101</v>
      </c>
      <c r="BS695" t="s">
        <v>11050</v>
      </c>
      <c r="BT695" t="str">
        <f>HYPERLINK("https%3A%2F%2Fwww.webofscience.com%2Fwos%2Fwoscc%2Ffull-record%2FWOS:000244095100009","View Full Record in Web of Science")</f>
        <v>View Full Record in Web of Science</v>
      </c>
    </row>
    <row r="696" spans="1:72" x14ac:dyDescent="0.15">
      <c r="A696" t="s">
        <v>72</v>
      </c>
      <c r="B696" t="s">
        <v>11051</v>
      </c>
      <c r="C696" t="s">
        <v>74</v>
      </c>
      <c r="D696" t="s">
        <v>74</v>
      </c>
      <c r="E696" t="s">
        <v>74</v>
      </c>
      <c r="F696" t="s">
        <v>11052</v>
      </c>
      <c r="G696" t="s">
        <v>74</v>
      </c>
      <c r="H696" t="s">
        <v>74</v>
      </c>
      <c r="I696" t="s">
        <v>11053</v>
      </c>
      <c r="J696" t="s">
        <v>2434</v>
      </c>
      <c r="K696" t="s">
        <v>74</v>
      </c>
      <c r="L696" t="s">
        <v>74</v>
      </c>
      <c r="M696" t="s">
        <v>78</v>
      </c>
      <c r="N696" t="s">
        <v>79</v>
      </c>
      <c r="O696" t="s">
        <v>74</v>
      </c>
      <c r="P696" t="s">
        <v>74</v>
      </c>
      <c r="Q696" t="s">
        <v>74</v>
      </c>
      <c r="R696" t="s">
        <v>74</v>
      </c>
      <c r="S696" t="s">
        <v>74</v>
      </c>
      <c r="T696" t="s">
        <v>11054</v>
      </c>
      <c r="U696" t="s">
        <v>11055</v>
      </c>
      <c r="V696" t="s">
        <v>11056</v>
      </c>
      <c r="W696" t="s">
        <v>11057</v>
      </c>
      <c r="X696" t="s">
        <v>11058</v>
      </c>
      <c r="Y696" t="s">
        <v>11059</v>
      </c>
      <c r="Z696" t="s">
        <v>11060</v>
      </c>
      <c r="AA696" t="s">
        <v>11061</v>
      </c>
      <c r="AB696" t="s">
        <v>11062</v>
      </c>
      <c r="AC696" t="s">
        <v>74</v>
      </c>
      <c r="AD696" t="s">
        <v>74</v>
      </c>
      <c r="AE696" t="s">
        <v>74</v>
      </c>
      <c r="AF696" t="s">
        <v>74</v>
      </c>
      <c r="AG696">
        <v>35</v>
      </c>
      <c r="AH696">
        <v>12</v>
      </c>
      <c r="AI696">
        <v>13</v>
      </c>
      <c r="AJ696">
        <v>0</v>
      </c>
      <c r="AK696">
        <v>4</v>
      </c>
      <c r="AL696" t="s">
        <v>1592</v>
      </c>
      <c r="AM696" t="s">
        <v>1593</v>
      </c>
      <c r="AN696" t="s">
        <v>2406</v>
      </c>
      <c r="AO696" t="s">
        <v>2442</v>
      </c>
      <c r="AP696" t="s">
        <v>2443</v>
      </c>
      <c r="AQ696" t="s">
        <v>74</v>
      </c>
      <c r="AR696" t="s">
        <v>2444</v>
      </c>
      <c r="AS696" t="s">
        <v>2445</v>
      </c>
      <c r="AT696" t="s">
        <v>9849</v>
      </c>
      <c r="AU696">
        <v>2007</v>
      </c>
      <c r="AV696">
        <v>30</v>
      </c>
      <c r="AW696">
        <v>4</v>
      </c>
      <c r="AX696" t="s">
        <v>74</v>
      </c>
      <c r="AY696" t="s">
        <v>74</v>
      </c>
      <c r="AZ696" t="s">
        <v>74</v>
      </c>
      <c r="BA696" t="s">
        <v>74</v>
      </c>
      <c r="BB696">
        <v>493</v>
      </c>
      <c r="BC696">
        <v>501</v>
      </c>
      <c r="BD696" t="s">
        <v>74</v>
      </c>
      <c r="BE696" t="s">
        <v>11063</v>
      </c>
      <c r="BF696" t="str">
        <f>HYPERLINK("http://dx.doi.org/10.1007/s00300-006-0208-4","http://dx.doi.org/10.1007/s00300-006-0208-4")</f>
        <v>http://dx.doi.org/10.1007/s00300-006-0208-4</v>
      </c>
      <c r="BG696" t="s">
        <v>74</v>
      </c>
      <c r="BH696" t="s">
        <v>74</v>
      </c>
      <c r="BI696">
        <v>9</v>
      </c>
      <c r="BJ696" t="s">
        <v>97</v>
      </c>
      <c r="BK696" t="s">
        <v>98</v>
      </c>
      <c r="BL696" t="s">
        <v>99</v>
      </c>
      <c r="BM696" t="s">
        <v>10986</v>
      </c>
      <c r="BN696" t="s">
        <v>74</v>
      </c>
      <c r="BO696" t="s">
        <v>74</v>
      </c>
      <c r="BP696" t="s">
        <v>74</v>
      </c>
      <c r="BQ696" t="s">
        <v>74</v>
      </c>
      <c r="BR696" t="s">
        <v>101</v>
      </c>
      <c r="BS696" t="s">
        <v>11064</v>
      </c>
      <c r="BT696" t="str">
        <f>HYPERLINK("https%3A%2F%2Fwww.webofscience.com%2Fwos%2Fwoscc%2Ffull-record%2FWOS:000244095100012","View Full Record in Web of Science")</f>
        <v>View Full Record in Web of Science</v>
      </c>
    </row>
    <row r="697" spans="1:72" x14ac:dyDescent="0.15">
      <c r="A697" t="s">
        <v>72</v>
      </c>
      <c r="B697" t="s">
        <v>11065</v>
      </c>
      <c r="C697" t="s">
        <v>74</v>
      </c>
      <c r="D697" t="s">
        <v>74</v>
      </c>
      <c r="E697" t="s">
        <v>74</v>
      </c>
      <c r="F697" t="s">
        <v>11066</v>
      </c>
      <c r="G697" t="s">
        <v>74</v>
      </c>
      <c r="H697" t="s">
        <v>74</v>
      </c>
      <c r="I697" t="s">
        <v>11067</v>
      </c>
      <c r="J697" t="s">
        <v>2434</v>
      </c>
      <c r="K697" t="s">
        <v>74</v>
      </c>
      <c r="L697" t="s">
        <v>74</v>
      </c>
      <c r="M697" t="s">
        <v>78</v>
      </c>
      <c r="N697" t="s">
        <v>79</v>
      </c>
      <c r="O697" t="s">
        <v>74</v>
      </c>
      <c r="P697" t="s">
        <v>74</v>
      </c>
      <c r="Q697" t="s">
        <v>74</v>
      </c>
      <c r="R697" t="s">
        <v>74</v>
      </c>
      <c r="S697" t="s">
        <v>74</v>
      </c>
      <c r="T697" t="s">
        <v>74</v>
      </c>
      <c r="U697" t="s">
        <v>11068</v>
      </c>
      <c r="V697" t="s">
        <v>11069</v>
      </c>
      <c r="W697" t="s">
        <v>11070</v>
      </c>
      <c r="X697" t="s">
        <v>9355</v>
      </c>
      <c r="Y697" t="s">
        <v>11071</v>
      </c>
      <c r="Z697" t="s">
        <v>11072</v>
      </c>
      <c r="AA697" t="s">
        <v>74</v>
      </c>
      <c r="AB697" t="s">
        <v>74</v>
      </c>
      <c r="AC697" t="s">
        <v>74</v>
      </c>
      <c r="AD697" t="s">
        <v>74</v>
      </c>
      <c r="AE697" t="s">
        <v>74</v>
      </c>
      <c r="AF697" t="s">
        <v>74</v>
      </c>
      <c r="AG697">
        <v>49</v>
      </c>
      <c r="AH697">
        <v>16</v>
      </c>
      <c r="AI697">
        <v>17</v>
      </c>
      <c r="AJ697">
        <v>0</v>
      </c>
      <c r="AK697">
        <v>10</v>
      </c>
      <c r="AL697" t="s">
        <v>1592</v>
      </c>
      <c r="AM697" t="s">
        <v>1593</v>
      </c>
      <c r="AN697" t="s">
        <v>2406</v>
      </c>
      <c r="AO697" t="s">
        <v>2442</v>
      </c>
      <c r="AP697" t="s">
        <v>2443</v>
      </c>
      <c r="AQ697" t="s">
        <v>74</v>
      </c>
      <c r="AR697" t="s">
        <v>2444</v>
      </c>
      <c r="AS697" t="s">
        <v>2445</v>
      </c>
      <c r="AT697" t="s">
        <v>9849</v>
      </c>
      <c r="AU697">
        <v>2007</v>
      </c>
      <c r="AV697">
        <v>30</v>
      </c>
      <c r="AW697">
        <v>4</v>
      </c>
      <c r="AX697" t="s">
        <v>74</v>
      </c>
      <c r="AY697" t="s">
        <v>74</v>
      </c>
      <c r="AZ697" t="s">
        <v>74</v>
      </c>
      <c r="BA697" t="s">
        <v>74</v>
      </c>
      <c r="BB697">
        <v>503</v>
      </c>
      <c r="BC697">
        <v>511</v>
      </c>
      <c r="BD697" t="s">
        <v>74</v>
      </c>
      <c r="BE697" t="s">
        <v>11073</v>
      </c>
      <c r="BF697" t="str">
        <f>HYPERLINK("http://dx.doi.org/10.1007/s00300-006-0209-3","http://dx.doi.org/10.1007/s00300-006-0209-3")</f>
        <v>http://dx.doi.org/10.1007/s00300-006-0209-3</v>
      </c>
      <c r="BG697" t="s">
        <v>74</v>
      </c>
      <c r="BH697" t="s">
        <v>74</v>
      </c>
      <c r="BI697">
        <v>9</v>
      </c>
      <c r="BJ697" t="s">
        <v>97</v>
      </c>
      <c r="BK697" t="s">
        <v>98</v>
      </c>
      <c r="BL697" t="s">
        <v>99</v>
      </c>
      <c r="BM697" t="s">
        <v>10986</v>
      </c>
      <c r="BN697" t="s">
        <v>74</v>
      </c>
      <c r="BO697" t="s">
        <v>74</v>
      </c>
      <c r="BP697" t="s">
        <v>74</v>
      </c>
      <c r="BQ697" t="s">
        <v>74</v>
      </c>
      <c r="BR697" t="s">
        <v>101</v>
      </c>
      <c r="BS697" t="s">
        <v>11074</v>
      </c>
      <c r="BT697" t="str">
        <f>HYPERLINK("https%3A%2F%2Fwww.webofscience.com%2Fwos%2Fwoscc%2Ffull-record%2FWOS:000244095100013","View Full Record in Web of Science")</f>
        <v>View Full Record in Web of Science</v>
      </c>
    </row>
    <row r="698" spans="1:72" x14ac:dyDescent="0.15">
      <c r="A698" t="s">
        <v>72</v>
      </c>
      <c r="B698" t="s">
        <v>11075</v>
      </c>
      <c r="C698" t="s">
        <v>74</v>
      </c>
      <c r="D698" t="s">
        <v>74</v>
      </c>
      <c r="E698" t="s">
        <v>74</v>
      </c>
      <c r="F698" t="s">
        <v>11076</v>
      </c>
      <c r="G698" t="s">
        <v>74</v>
      </c>
      <c r="H698" t="s">
        <v>74</v>
      </c>
      <c r="I698" t="s">
        <v>11077</v>
      </c>
      <c r="J698" t="s">
        <v>2434</v>
      </c>
      <c r="K698" t="s">
        <v>74</v>
      </c>
      <c r="L698" t="s">
        <v>74</v>
      </c>
      <c r="M698" t="s">
        <v>78</v>
      </c>
      <c r="N698" t="s">
        <v>79</v>
      </c>
      <c r="O698" t="s">
        <v>74</v>
      </c>
      <c r="P698" t="s">
        <v>74</v>
      </c>
      <c r="Q698" t="s">
        <v>74</v>
      </c>
      <c r="R698" t="s">
        <v>74</v>
      </c>
      <c r="S698" t="s">
        <v>74</v>
      </c>
      <c r="T698" t="s">
        <v>11078</v>
      </c>
      <c r="U698" t="s">
        <v>11079</v>
      </c>
      <c r="V698" t="s">
        <v>11080</v>
      </c>
      <c r="W698" t="s">
        <v>11081</v>
      </c>
      <c r="X698" t="s">
        <v>11082</v>
      </c>
      <c r="Y698" t="s">
        <v>11083</v>
      </c>
      <c r="Z698" t="s">
        <v>11084</v>
      </c>
      <c r="AA698" t="s">
        <v>11085</v>
      </c>
      <c r="AB698" t="s">
        <v>11086</v>
      </c>
      <c r="AC698" t="s">
        <v>74</v>
      </c>
      <c r="AD698" t="s">
        <v>74</v>
      </c>
      <c r="AE698" t="s">
        <v>74</v>
      </c>
      <c r="AF698" t="s">
        <v>74</v>
      </c>
      <c r="AG698">
        <v>58</v>
      </c>
      <c r="AH698">
        <v>31</v>
      </c>
      <c r="AI698">
        <v>32</v>
      </c>
      <c r="AJ698">
        <v>0</v>
      </c>
      <c r="AK698">
        <v>9</v>
      </c>
      <c r="AL698" t="s">
        <v>1592</v>
      </c>
      <c r="AM698" t="s">
        <v>1593</v>
      </c>
      <c r="AN698" t="s">
        <v>1594</v>
      </c>
      <c r="AO698" t="s">
        <v>2442</v>
      </c>
      <c r="AP698" t="s">
        <v>2443</v>
      </c>
      <c r="AQ698" t="s">
        <v>74</v>
      </c>
      <c r="AR698" t="s">
        <v>2444</v>
      </c>
      <c r="AS698" t="s">
        <v>2445</v>
      </c>
      <c r="AT698" t="s">
        <v>9849</v>
      </c>
      <c r="AU698">
        <v>2007</v>
      </c>
      <c r="AV698">
        <v>30</v>
      </c>
      <c r="AW698">
        <v>4</v>
      </c>
      <c r="AX698" t="s">
        <v>74</v>
      </c>
      <c r="AY698" t="s">
        <v>74</v>
      </c>
      <c r="AZ698" t="s">
        <v>74</v>
      </c>
      <c r="BA698" t="s">
        <v>74</v>
      </c>
      <c r="BB698">
        <v>513</v>
      </c>
      <c r="BC698">
        <v>521</v>
      </c>
      <c r="BD698" t="s">
        <v>74</v>
      </c>
      <c r="BE698" t="s">
        <v>11087</v>
      </c>
      <c r="BF698" t="str">
        <f>HYPERLINK("http://dx.doi.org/10.1007/s00300-006-0210-x","http://dx.doi.org/10.1007/s00300-006-0210-x")</f>
        <v>http://dx.doi.org/10.1007/s00300-006-0210-x</v>
      </c>
      <c r="BG698" t="s">
        <v>74</v>
      </c>
      <c r="BH698" t="s">
        <v>74</v>
      </c>
      <c r="BI698">
        <v>9</v>
      </c>
      <c r="BJ698" t="s">
        <v>97</v>
      </c>
      <c r="BK698" t="s">
        <v>98</v>
      </c>
      <c r="BL698" t="s">
        <v>99</v>
      </c>
      <c r="BM698" t="s">
        <v>10986</v>
      </c>
      <c r="BN698" t="s">
        <v>74</v>
      </c>
      <c r="BO698" t="s">
        <v>1249</v>
      </c>
      <c r="BP698" t="s">
        <v>74</v>
      </c>
      <c r="BQ698" t="s">
        <v>74</v>
      </c>
      <c r="BR698" t="s">
        <v>101</v>
      </c>
      <c r="BS698" t="s">
        <v>11088</v>
      </c>
      <c r="BT698" t="str">
        <f>HYPERLINK("https%3A%2F%2Fwww.webofscience.com%2Fwos%2Fwoscc%2Ffull-record%2FWOS:000244095100014","View Full Record in Web of Science")</f>
        <v>View Full Record in Web of Science</v>
      </c>
    </row>
    <row r="699" spans="1:72" x14ac:dyDescent="0.15">
      <c r="A699" t="s">
        <v>72</v>
      </c>
      <c r="B699" t="s">
        <v>11089</v>
      </c>
      <c r="C699" t="s">
        <v>74</v>
      </c>
      <c r="D699" t="s">
        <v>74</v>
      </c>
      <c r="E699" t="s">
        <v>74</v>
      </c>
      <c r="F699" t="s">
        <v>11090</v>
      </c>
      <c r="G699" t="s">
        <v>74</v>
      </c>
      <c r="H699" t="s">
        <v>74</v>
      </c>
      <c r="I699" t="s">
        <v>11091</v>
      </c>
      <c r="J699" t="s">
        <v>11092</v>
      </c>
      <c r="K699" t="s">
        <v>74</v>
      </c>
      <c r="L699" t="s">
        <v>74</v>
      </c>
      <c r="M699" t="s">
        <v>78</v>
      </c>
      <c r="N699" t="s">
        <v>79</v>
      </c>
      <c r="O699" t="s">
        <v>74</v>
      </c>
      <c r="P699" t="s">
        <v>74</v>
      </c>
      <c r="Q699" t="s">
        <v>74</v>
      </c>
      <c r="R699" t="s">
        <v>74</v>
      </c>
      <c r="S699" t="s">
        <v>74</v>
      </c>
      <c r="T699" t="s">
        <v>11093</v>
      </c>
      <c r="U699" t="s">
        <v>11094</v>
      </c>
      <c r="V699" t="s">
        <v>11095</v>
      </c>
      <c r="W699" t="s">
        <v>11096</v>
      </c>
      <c r="X699" t="s">
        <v>11097</v>
      </c>
      <c r="Y699" t="s">
        <v>11098</v>
      </c>
      <c r="Z699" t="s">
        <v>11099</v>
      </c>
      <c r="AA699" t="s">
        <v>11100</v>
      </c>
      <c r="AB699" t="s">
        <v>11101</v>
      </c>
      <c r="AC699" t="s">
        <v>74</v>
      </c>
      <c r="AD699" t="s">
        <v>74</v>
      </c>
      <c r="AE699" t="s">
        <v>74</v>
      </c>
      <c r="AF699" t="s">
        <v>74</v>
      </c>
      <c r="AG699">
        <v>36</v>
      </c>
      <c r="AH699">
        <v>29</v>
      </c>
      <c r="AI699">
        <v>31</v>
      </c>
      <c r="AJ699">
        <v>0</v>
      </c>
      <c r="AK699">
        <v>9</v>
      </c>
      <c r="AL699" t="s">
        <v>11102</v>
      </c>
      <c r="AM699" t="s">
        <v>11103</v>
      </c>
      <c r="AN699" t="s">
        <v>11104</v>
      </c>
      <c r="AO699" t="s">
        <v>11105</v>
      </c>
      <c r="AP699" t="s">
        <v>11106</v>
      </c>
      <c r="AQ699" t="s">
        <v>74</v>
      </c>
      <c r="AR699" t="s">
        <v>11107</v>
      </c>
      <c r="AS699" t="s">
        <v>11108</v>
      </c>
      <c r="AT699" t="s">
        <v>9849</v>
      </c>
      <c r="AU699">
        <v>2007</v>
      </c>
      <c r="AV699">
        <v>52</v>
      </c>
      <c r="AW699">
        <v>1</v>
      </c>
      <c r="AX699" t="s">
        <v>74</v>
      </c>
      <c r="AY699" t="s">
        <v>74</v>
      </c>
      <c r="AZ699" t="s">
        <v>74</v>
      </c>
      <c r="BA699" t="s">
        <v>74</v>
      </c>
      <c r="BB699">
        <v>82</v>
      </c>
      <c r="BC699">
        <v>88</v>
      </c>
      <c r="BD699" t="s">
        <v>74</v>
      </c>
      <c r="BE699" t="s">
        <v>11109</v>
      </c>
      <c r="BF699" t="str">
        <f>HYPERLINK("http://dx.doi.org/10.1016/j.pep.2006.08.008","http://dx.doi.org/10.1016/j.pep.2006.08.008")</f>
        <v>http://dx.doi.org/10.1016/j.pep.2006.08.008</v>
      </c>
      <c r="BG699" t="s">
        <v>74</v>
      </c>
      <c r="BH699" t="s">
        <v>74</v>
      </c>
      <c r="BI699">
        <v>7</v>
      </c>
      <c r="BJ699" t="s">
        <v>11110</v>
      </c>
      <c r="BK699" t="s">
        <v>98</v>
      </c>
      <c r="BL699" t="s">
        <v>11111</v>
      </c>
      <c r="BM699" t="s">
        <v>11112</v>
      </c>
      <c r="BN699">
        <v>17011209</v>
      </c>
      <c r="BO699" t="s">
        <v>74</v>
      </c>
      <c r="BP699" t="s">
        <v>74</v>
      </c>
      <c r="BQ699" t="s">
        <v>74</v>
      </c>
      <c r="BR699" t="s">
        <v>101</v>
      </c>
      <c r="BS699" t="s">
        <v>11113</v>
      </c>
      <c r="BT699" t="str">
        <f>HYPERLINK("https%3A%2F%2Fwww.webofscience.com%2Fwos%2Fwoscc%2Ffull-record%2FWOS:000244772900011","View Full Record in Web of Science")</f>
        <v>View Full Record in Web of Science</v>
      </c>
    </row>
    <row r="700" spans="1:72" x14ac:dyDescent="0.15">
      <c r="A700" t="s">
        <v>72</v>
      </c>
      <c r="B700" t="s">
        <v>11114</v>
      </c>
      <c r="C700" t="s">
        <v>74</v>
      </c>
      <c r="D700" t="s">
        <v>74</v>
      </c>
      <c r="E700" t="s">
        <v>74</v>
      </c>
      <c r="F700" t="s">
        <v>11115</v>
      </c>
      <c r="G700" t="s">
        <v>74</v>
      </c>
      <c r="H700" t="s">
        <v>74</v>
      </c>
      <c r="I700" t="s">
        <v>11116</v>
      </c>
      <c r="J700" t="s">
        <v>2553</v>
      </c>
      <c r="K700" t="s">
        <v>74</v>
      </c>
      <c r="L700" t="s">
        <v>74</v>
      </c>
      <c r="M700" t="s">
        <v>78</v>
      </c>
      <c r="N700" t="s">
        <v>79</v>
      </c>
      <c r="O700" t="s">
        <v>74</v>
      </c>
      <c r="P700" t="s">
        <v>74</v>
      </c>
      <c r="Q700" t="s">
        <v>74</v>
      </c>
      <c r="R700" t="s">
        <v>74</v>
      </c>
      <c r="S700" t="s">
        <v>74</v>
      </c>
      <c r="T700" t="s">
        <v>74</v>
      </c>
      <c r="U700" t="s">
        <v>11117</v>
      </c>
      <c r="V700" t="s">
        <v>11118</v>
      </c>
      <c r="W700" t="s">
        <v>11119</v>
      </c>
      <c r="X700" t="s">
        <v>11120</v>
      </c>
      <c r="Y700" t="s">
        <v>11121</v>
      </c>
      <c r="Z700" t="s">
        <v>11122</v>
      </c>
      <c r="AA700" t="s">
        <v>11123</v>
      </c>
      <c r="AB700" t="s">
        <v>11124</v>
      </c>
      <c r="AC700" t="s">
        <v>74</v>
      </c>
      <c r="AD700" t="s">
        <v>74</v>
      </c>
      <c r="AE700" t="s">
        <v>74</v>
      </c>
      <c r="AF700" t="s">
        <v>74</v>
      </c>
      <c r="AG700">
        <v>66</v>
      </c>
      <c r="AH700">
        <v>140</v>
      </c>
      <c r="AI700">
        <v>150</v>
      </c>
      <c r="AJ700">
        <v>1</v>
      </c>
      <c r="AK700">
        <v>48</v>
      </c>
      <c r="AL700" t="s">
        <v>1503</v>
      </c>
      <c r="AM700" t="s">
        <v>1504</v>
      </c>
      <c r="AN700" t="s">
        <v>1505</v>
      </c>
      <c r="AO700" t="s">
        <v>2562</v>
      </c>
      <c r="AP700" t="s">
        <v>74</v>
      </c>
      <c r="AQ700" t="s">
        <v>74</v>
      </c>
      <c r="AR700" t="s">
        <v>2563</v>
      </c>
      <c r="AS700" t="s">
        <v>2564</v>
      </c>
      <c r="AT700" t="s">
        <v>9849</v>
      </c>
      <c r="AU700">
        <v>2007</v>
      </c>
      <c r="AV700">
        <v>26</v>
      </c>
      <c r="AW700" t="s">
        <v>11125</v>
      </c>
      <c r="AX700" t="s">
        <v>74</v>
      </c>
      <c r="AY700" t="s">
        <v>74</v>
      </c>
      <c r="AZ700" t="s">
        <v>74</v>
      </c>
      <c r="BA700" t="s">
        <v>74</v>
      </c>
      <c r="BB700">
        <v>585</v>
      </c>
      <c r="BC700">
        <v>597</v>
      </c>
      <c r="BD700" t="s">
        <v>74</v>
      </c>
      <c r="BE700" t="s">
        <v>11126</v>
      </c>
      <c r="BF700" t="str">
        <f>HYPERLINK("http://dx.doi.org/10.1016/j.quascirev.2006.12.010","http://dx.doi.org/10.1016/j.quascirev.2006.12.010")</f>
        <v>http://dx.doi.org/10.1016/j.quascirev.2006.12.010</v>
      </c>
      <c r="BG700" t="s">
        <v>74</v>
      </c>
      <c r="BH700" t="s">
        <v>74</v>
      </c>
      <c r="BI700">
        <v>13</v>
      </c>
      <c r="BJ700" t="s">
        <v>2567</v>
      </c>
      <c r="BK700" t="s">
        <v>98</v>
      </c>
      <c r="BL700" t="s">
        <v>2568</v>
      </c>
      <c r="BM700" t="s">
        <v>11127</v>
      </c>
      <c r="BN700" t="s">
        <v>74</v>
      </c>
      <c r="BO700" t="s">
        <v>74</v>
      </c>
      <c r="BP700" t="s">
        <v>74</v>
      </c>
      <c r="BQ700" t="s">
        <v>74</v>
      </c>
      <c r="BR700" t="s">
        <v>101</v>
      </c>
      <c r="BS700" t="s">
        <v>11128</v>
      </c>
      <c r="BT700" t="str">
        <f>HYPERLINK("https%3A%2F%2Fwww.webofscience.com%2Fwos%2Fwoscc%2Ffull-record%2FWOS:000245961600003","View Full Record in Web of Science")</f>
        <v>View Full Record in Web of Science</v>
      </c>
    </row>
    <row r="701" spans="1:72" x14ac:dyDescent="0.15">
      <c r="A701" t="s">
        <v>72</v>
      </c>
      <c r="B701" t="s">
        <v>11129</v>
      </c>
      <c r="C701" t="s">
        <v>74</v>
      </c>
      <c r="D701" t="s">
        <v>74</v>
      </c>
      <c r="E701" t="s">
        <v>74</v>
      </c>
      <c r="F701" t="s">
        <v>11130</v>
      </c>
      <c r="G701" t="s">
        <v>74</v>
      </c>
      <c r="H701" t="s">
        <v>74</v>
      </c>
      <c r="I701" t="s">
        <v>11131</v>
      </c>
      <c r="J701" t="s">
        <v>2553</v>
      </c>
      <c r="K701" t="s">
        <v>74</v>
      </c>
      <c r="L701" t="s">
        <v>74</v>
      </c>
      <c r="M701" t="s">
        <v>78</v>
      </c>
      <c r="N701" t="s">
        <v>79</v>
      </c>
      <c r="O701" t="s">
        <v>74</v>
      </c>
      <c r="P701" t="s">
        <v>74</v>
      </c>
      <c r="Q701" t="s">
        <v>74</v>
      </c>
      <c r="R701" t="s">
        <v>74</v>
      </c>
      <c r="S701" t="s">
        <v>74</v>
      </c>
      <c r="T701" t="s">
        <v>74</v>
      </c>
      <c r="U701" t="s">
        <v>11132</v>
      </c>
      <c r="V701" t="s">
        <v>11133</v>
      </c>
      <c r="W701" t="s">
        <v>11134</v>
      </c>
      <c r="X701" t="s">
        <v>11135</v>
      </c>
      <c r="Y701" t="s">
        <v>11136</v>
      </c>
      <c r="Z701" t="s">
        <v>11137</v>
      </c>
      <c r="AA701" t="s">
        <v>11138</v>
      </c>
      <c r="AB701" t="s">
        <v>11139</v>
      </c>
      <c r="AC701" t="s">
        <v>74</v>
      </c>
      <c r="AD701" t="s">
        <v>74</v>
      </c>
      <c r="AE701" t="s">
        <v>74</v>
      </c>
      <c r="AF701" t="s">
        <v>74</v>
      </c>
      <c r="AG701">
        <v>97</v>
      </c>
      <c r="AH701">
        <v>23</v>
      </c>
      <c r="AI701">
        <v>25</v>
      </c>
      <c r="AJ701">
        <v>0</v>
      </c>
      <c r="AK701">
        <v>9</v>
      </c>
      <c r="AL701" t="s">
        <v>1503</v>
      </c>
      <c r="AM701" t="s">
        <v>1504</v>
      </c>
      <c r="AN701" t="s">
        <v>1505</v>
      </c>
      <c r="AO701" t="s">
        <v>2562</v>
      </c>
      <c r="AP701" t="s">
        <v>74</v>
      </c>
      <c r="AQ701" t="s">
        <v>74</v>
      </c>
      <c r="AR701" t="s">
        <v>2563</v>
      </c>
      <c r="AS701" t="s">
        <v>2564</v>
      </c>
      <c r="AT701" t="s">
        <v>9849</v>
      </c>
      <c r="AU701">
        <v>2007</v>
      </c>
      <c r="AV701">
        <v>26</v>
      </c>
      <c r="AW701" t="s">
        <v>11125</v>
      </c>
      <c r="AX701" t="s">
        <v>74</v>
      </c>
      <c r="AY701" t="s">
        <v>74</v>
      </c>
      <c r="AZ701" t="s">
        <v>74</v>
      </c>
      <c r="BA701" t="s">
        <v>74</v>
      </c>
      <c r="BB701">
        <v>598</v>
      </c>
      <c r="BC701">
        <v>626</v>
      </c>
      <c r="BD701" t="s">
        <v>74</v>
      </c>
      <c r="BE701" t="s">
        <v>11140</v>
      </c>
      <c r="BF701" t="str">
        <f>HYPERLINK("http://dx.doi.org/10.1016/j.quascirev.2006.11.014","http://dx.doi.org/10.1016/j.quascirev.2006.11.014")</f>
        <v>http://dx.doi.org/10.1016/j.quascirev.2006.11.014</v>
      </c>
      <c r="BG701" t="s">
        <v>74</v>
      </c>
      <c r="BH701" t="s">
        <v>74</v>
      </c>
      <c r="BI701">
        <v>29</v>
      </c>
      <c r="BJ701" t="s">
        <v>2567</v>
      </c>
      <c r="BK701" t="s">
        <v>98</v>
      </c>
      <c r="BL701" t="s">
        <v>2568</v>
      </c>
      <c r="BM701" t="s">
        <v>11127</v>
      </c>
      <c r="BN701" t="s">
        <v>74</v>
      </c>
      <c r="BO701" t="s">
        <v>74</v>
      </c>
      <c r="BP701" t="s">
        <v>74</v>
      </c>
      <c r="BQ701" t="s">
        <v>74</v>
      </c>
      <c r="BR701" t="s">
        <v>101</v>
      </c>
      <c r="BS701" t="s">
        <v>11141</v>
      </c>
      <c r="BT701" t="str">
        <f>HYPERLINK("https%3A%2F%2Fwww.webofscience.com%2Fwos%2Fwoscc%2Ffull-record%2FWOS:000245961600004","View Full Record in Web of Science")</f>
        <v>View Full Record in Web of Science</v>
      </c>
    </row>
    <row r="702" spans="1:72" x14ac:dyDescent="0.15">
      <c r="A702" t="s">
        <v>72</v>
      </c>
      <c r="B702" t="s">
        <v>11142</v>
      </c>
      <c r="C702" t="s">
        <v>74</v>
      </c>
      <c r="D702" t="s">
        <v>74</v>
      </c>
      <c r="E702" t="s">
        <v>74</v>
      </c>
      <c r="F702" t="s">
        <v>11143</v>
      </c>
      <c r="G702" t="s">
        <v>74</v>
      </c>
      <c r="H702" t="s">
        <v>74</v>
      </c>
      <c r="I702" t="s">
        <v>11144</v>
      </c>
      <c r="J702" t="s">
        <v>2553</v>
      </c>
      <c r="K702" t="s">
        <v>74</v>
      </c>
      <c r="L702" t="s">
        <v>74</v>
      </c>
      <c r="M702" t="s">
        <v>78</v>
      </c>
      <c r="N702" t="s">
        <v>79</v>
      </c>
      <c r="O702" t="s">
        <v>74</v>
      </c>
      <c r="P702" t="s">
        <v>74</v>
      </c>
      <c r="Q702" t="s">
        <v>74</v>
      </c>
      <c r="R702" t="s">
        <v>74</v>
      </c>
      <c r="S702" t="s">
        <v>74</v>
      </c>
      <c r="T702" t="s">
        <v>74</v>
      </c>
      <c r="U702" t="s">
        <v>11145</v>
      </c>
      <c r="V702" t="s">
        <v>11146</v>
      </c>
      <c r="W702" t="s">
        <v>11147</v>
      </c>
      <c r="X702" t="s">
        <v>11148</v>
      </c>
      <c r="Y702" t="s">
        <v>11149</v>
      </c>
      <c r="Z702" t="s">
        <v>11150</v>
      </c>
      <c r="AA702" t="s">
        <v>11151</v>
      </c>
      <c r="AB702" t="s">
        <v>11152</v>
      </c>
      <c r="AC702" t="s">
        <v>74</v>
      </c>
      <c r="AD702" t="s">
        <v>74</v>
      </c>
      <c r="AE702" t="s">
        <v>74</v>
      </c>
      <c r="AF702" t="s">
        <v>74</v>
      </c>
      <c r="AG702">
        <v>71</v>
      </c>
      <c r="AH702">
        <v>58</v>
      </c>
      <c r="AI702">
        <v>62</v>
      </c>
      <c r="AJ702">
        <v>0</v>
      </c>
      <c r="AK702">
        <v>27</v>
      </c>
      <c r="AL702" t="s">
        <v>1503</v>
      </c>
      <c r="AM702" t="s">
        <v>1504</v>
      </c>
      <c r="AN702" t="s">
        <v>1505</v>
      </c>
      <c r="AO702" t="s">
        <v>2562</v>
      </c>
      <c r="AP702" t="s">
        <v>74</v>
      </c>
      <c r="AQ702" t="s">
        <v>74</v>
      </c>
      <c r="AR702" t="s">
        <v>2563</v>
      </c>
      <c r="AS702" t="s">
        <v>2564</v>
      </c>
      <c r="AT702" t="s">
        <v>9849</v>
      </c>
      <c r="AU702">
        <v>2007</v>
      </c>
      <c r="AV702">
        <v>26</v>
      </c>
      <c r="AW702" t="s">
        <v>11125</v>
      </c>
      <c r="AX702" t="s">
        <v>74</v>
      </c>
      <c r="AY702" t="s">
        <v>74</v>
      </c>
      <c r="AZ702" t="s">
        <v>74</v>
      </c>
      <c r="BA702" t="s">
        <v>74</v>
      </c>
      <c r="BB702">
        <v>644</v>
      </c>
      <c r="BC702">
        <v>677</v>
      </c>
      <c r="BD702" t="s">
        <v>74</v>
      </c>
      <c r="BE702" t="s">
        <v>11153</v>
      </c>
      <c r="BF702" t="str">
        <f>HYPERLINK("http://dx.doi.org/10.1016/j.quascirev.2006.11.019","http://dx.doi.org/10.1016/j.quascirev.2006.11.019")</f>
        <v>http://dx.doi.org/10.1016/j.quascirev.2006.11.019</v>
      </c>
      <c r="BG702" t="s">
        <v>74</v>
      </c>
      <c r="BH702" t="s">
        <v>74</v>
      </c>
      <c r="BI702">
        <v>34</v>
      </c>
      <c r="BJ702" t="s">
        <v>2567</v>
      </c>
      <c r="BK702" t="s">
        <v>98</v>
      </c>
      <c r="BL702" t="s">
        <v>2568</v>
      </c>
      <c r="BM702" t="s">
        <v>11127</v>
      </c>
      <c r="BN702" t="s">
        <v>74</v>
      </c>
      <c r="BO702" t="s">
        <v>74</v>
      </c>
      <c r="BP702" t="s">
        <v>74</v>
      </c>
      <c r="BQ702" t="s">
        <v>74</v>
      </c>
      <c r="BR702" t="s">
        <v>101</v>
      </c>
      <c r="BS702" t="s">
        <v>11154</v>
      </c>
      <c r="BT702" t="str">
        <f>HYPERLINK("https%3A%2F%2Fwww.webofscience.com%2Fwos%2Fwoscc%2Ffull-record%2FWOS:000245961600006","View Full Record in Web of Science")</f>
        <v>View Full Record in Web of Science</v>
      </c>
    </row>
    <row r="703" spans="1:72" x14ac:dyDescent="0.15">
      <c r="A703" t="s">
        <v>72</v>
      </c>
      <c r="B703" t="s">
        <v>11155</v>
      </c>
      <c r="C703" t="s">
        <v>74</v>
      </c>
      <c r="D703" t="s">
        <v>74</v>
      </c>
      <c r="E703" t="s">
        <v>74</v>
      </c>
      <c r="F703" t="s">
        <v>11156</v>
      </c>
      <c r="G703" t="s">
        <v>74</v>
      </c>
      <c r="H703" t="s">
        <v>74</v>
      </c>
      <c r="I703" t="s">
        <v>11157</v>
      </c>
      <c r="J703" t="s">
        <v>2553</v>
      </c>
      <c r="K703" t="s">
        <v>74</v>
      </c>
      <c r="L703" t="s">
        <v>74</v>
      </c>
      <c r="M703" t="s">
        <v>78</v>
      </c>
      <c r="N703" t="s">
        <v>79</v>
      </c>
      <c r="O703" t="s">
        <v>74</v>
      </c>
      <c r="P703" t="s">
        <v>74</v>
      </c>
      <c r="Q703" t="s">
        <v>74</v>
      </c>
      <c r="R703" t="s">
        <v>74</v>
      </c>
      <c r="S703" t="s">
        <v>74</v>
      </c>
      <c r="T703" t="s">
        <v>74</v>
      </c>
      <c r="U703" t="s">
        <v>11158</v>
      </c>
      <c r="V703" t="s">
        <v>11159</v>
      </c>
      <c r="W703" t="s">
        <v>11160</v>
      </c>
      <c r="X703" t="s">
        <v>11161</v>
      </c>
      <c r="Y703" t="s">
        <v>11162</v>
      </c>
      <c r="Z703" t="s">
        <v>11163</v>
      </c>
      <c r="AA703" t="s">
        <v>74</v>
      </c>
      <c r="AB703" t="s">
        <v>11164</v>
      </c>
      <c r="AC703" t="s">
        <v>74</v>
      </c>
      <c r="AD703" t="s">
        <v>74</v>
      </c>
      <c r="AE703" t="s">
        <v>74</v>
      </c>
      <c r="AF703" t="s">
        <v>74</v>
      </c>
      <c r="AG703">
        <v>63</v>
      </c>
      <c r="AH703">
        <v>50</v>
      </c>
      <c r="AI703">
        <v>58</v>
      </c>
      <c r="AJ703">
        <v>1</v>
      </c>
      <c r="AK703">
        <v>18</v>
      </c>
      <c r="AL703" t="s">
        <v>1503</v>
      </c>
      <c r="AM703" t="s">
        <v>1504</v>
      </c>
      <c r="AN703" t="s">
        <v>1505</v>
      </c>
      <c r="AO703" t="s">
        <v>2562</v>
      </c>
      <c r="AP703" t="s">
        <v>74</v>
      </c>
      <c r="AQ703" t="s">
        <v>74</v>
      </c>
      <c r="AR703" t="s">
        <v>2563</v>
      </c>
      <c r="AS703" t="s">
        <v>2564</v>
      </c>
      <c r="AT703" t="s">
        <v>9849</v>
      </c>
      <c r="AU703">
        <v>2007</v>
      </c>
      <c r="AV703">
        <v>26</v>
      </c>
      <c r="AW703" t="s">
        <v>11125</v>
      </c>
      <c r="AX703" t="s">
        <v>74</v>
      </c>
      <c r="AY703" t="s">
        <v>74</v>
      </c>
      <c r="AZ703" t="s">
        <v>74</v>
      </c>
      <c r="BA703" t="s">
        <v>74</v>
      </c>
      <c r="BB703">
        <v>732</v>
      </c>
      <c r="BC703">
        <v>742</v>
      </c>
      <c r="BD703" t="s">
        <v>74</v>
      </c>
      <c r="BE703" t="s">
        <v>11165</v>
      </c>
      <c r="BF703" t="str">
        <f>HYPERLINK("http://dx.doi.org/10.1016/j.quascirev.2006.10.001","http://dx.doi.org/10.1016/j.quascirev.2006.10.001")</f>
        <v>http://dx.doi.org/10.1016/j.quascirev.2006.10.001</v>
      </c>
      <c r="BG703" t="s">
        <v>74</v>
      </c>
      <c r="BH703" t="s">
        <v>74</v>
      </c>
      <c r="BI703">
        <v>11</v>
      </c>
      <c r="BJ703" t="s">
        <v>2567</v>
      </c>
      <c r="BK703" t="s">
        <v>98</v>
      </c>
      <c r="BL703" t="s">
        <v>2568</v>
      </c>
      <c r="BM703" t="s">
        <v>11127</v>
      </c>
      <c r="BN703" t="s">
        <v>74</v>
      </c>
      <c r="BO703" t="s">
        <v>74</v>
      </c>
      <c r="BP703" t="s">
        <v>74</v>
      </c>
      <c r="BQ703" t="s">
        <v>74</v>
      </c>
      <c r="BR703" t="s">
        <v>101</v>
      </c>
      <c r="BS703" t="s">
        <v>11166</v>
      </c>
      <c r="BT703" t="str">
        <f>HYPERLINK("https%3A%2F%2Fwww.webofscience.com%2Fwos%2Fwoscc%2Ffull-record%2FWOS:000245961600010","View Full Record in Web of Science")</f>
        <v>View Full Record in Web of Science</v>
      </c>
    </row>
    <row r="704" spans="1:72" x14ac:dyDescent="0.15">
      <c r="A704" t="s">
        <v>72</v>
      </c>
      <c r="B704" t="s">
        <v>6184</v>
      </c>
      <c r="C704" t="s">
        <v>74</v>
      </c>
      <c r="D704" t="s">
        <v>74</v>
      </c>
      <c r="E704" t="s">
        <v>74</v>
      </c>
      <c r="F704" t="s">
        <v>6185</v>
      </c>
      <c r="G704" t="s">
        <v>74</v>
      </c>
      <c r="H704" t="s">
        <v>74</v>
      </c>
      <c r="I704" t="s">
        <v>11167</v>
      </c>
      <c r="J704" t="s">
        <v>6187</v>
      </c>
      <c r="K704" t="s">
        <v>74</v>
      </c>
      <c r="L704" t="s">
        <v>74</v>
      </c>
      <c r="M704" t="s">
        <v>78</v>
      </c>
      <c r="N704" t="s">
        <v>79</v>
      </c>
      <c r="O704" t="s">
        <v>74</v>
      </c>
      <c r="P704" t="s">
        <v>74</v>
      </c>
      <c r="Q704" t="s">
        <v>74</v>
      </c>
      <c r="R704" t="s">
        <v>74</v>
      </c>
      <c r="S704" t="s">
        <v>74</v>
      </c>
      <c r="T704" t="s">
        <v>11168</v>
      </c>
      <c r="U704" t="s">
        <v>11169</v>
      </c>
      <c r="V704" t="s">
        <v>11170</v>
      </c>
      <c r="W704" t="s">
        <v>11171</v>
      </c>
      <c r="X704" t="s">
        <v>6192</v>
      </c>
      <c r="Y704" t="s">
        <v>11172</v>
      </c>
      <c r="Z704" t="s">
        <v>6194</v>
      </c>
      <c r="AA704" t="s">
        <v>6195</v>
      </c>
      <c r="AB704" t="s">
        <v>6196</v>
      </c>
      <c r="AC704" t="s">
        <v>74</v>
      </c>
      <c r="AD704" t="s">
        <v>74</v>
      </c>
      <c r="AE704" t="s">
        <v>74</v>
      </c>
      <c r="AF704" t="s">
        <v>74</v>
      </c>
      <c r="AG704">
        <v>32</v>
      </c>
      <c r="AH704">
        <v>3</v>
      </c>
      <c r="AI704">
        <v>5</v>
      </c>
      <c r="AJ704">
        <v>0</v>
      </c>
      <c r="AK704">
        <v>1</v>
      </c>
      <c r="AL704" t="s">
        <v>6197</v>
      </c>
      <c r="AM704" t="s">
        <v>6198</v>
      </c>
      <c r="AN704" t="s">
        <v>6199</v>
      </c>
      <c r="AO704" t="s">
        <v>6200</v>
      </c>
      <c r="AP704" t="s">
        <v>74</v>
      </c>
      <c r="AQ704" t="s">
        <v>74</v>
      </c>
      <c r="AR704" t="s">
        <v>6201</v>
      </c>
      <c r="AS704" t="s">
        <v>6202</v>
      </c>
      <c r="AT704" t="s">
        <v>9849</v>
      </c>
      <c r="AU704">
        <v>2007</v>
      </c>
      <c r="AV704">
        <v>24</v>
      </c>
      <c r="AW704">
        <v>1</v>
      </c>
      <c r="AX704" t="s">
        <v>74</v>
      </c>
      <c r="AY704" t="s">
        <v>74</v>
      </c>
      <c r="AZ704" t="s">
        <v>74</v>
      </c>
      <c r="BA704" t="s">
        <v>74</v>
      </c>
      <c r="BB704">
        <v>33</v>
      </c>
      <c r="BC704">
        <v>40</v>
      </c>
      <c r="BD704" t="s">
        <v>74</v>
      </c>
      <c r="BE704" t="s">
        <v>11173</v>
      </c>
      <c r="BF704" t="str">
        <f>HYPERLINK("http://dx.doi.org/10.1590/S0101-81752007000100004","http://dx.doi.org/10.1590/S0101-81752007000100004")</f>
        <v>http://dx.doi.org/10.1590/S0101-81752007000100004</v>
      </c>
      <c r="BG704" t="s">
        <v>74</v>
      </c>
      <c r="BH704" t="s">
        <v>74</v>
      </c>
      <c r="BI704">
        <v>8</v>
      </c>
      <c r="BJ704" t="s">
        <v>507</v>
      </c>
      <c r="BK704" t="s">
        <v>98</v>
      </c>
      <c r="BL704" t="s">
        <v>507</v>
      </c>
      <c r="BM704" t="s">
        <v>11174</v>
      </c>
      <c r="BN704" t="s">
        <v>74</v>
      </c>
      <c r="BO704" t="s">
        <v>125</v>
      </c>
      <c r="BP704" t="s">
        <v>74</v>
      </c>
      <c r="BQ704" t="s">
        <v>74</v>
      </c>
      <c r="BR704" t="s">
        <v>101</v>
      </c>
      <c r="BS704" t="s">
        <v>11175</v>
      </c>
      <c r="BT704" t="str">
        <f>HYPERLINK("https%3A%2F%2Fwww.webofscience.com%2Fwos%2Fwoscc%2Ffull-record%2FWOS:000245370300004","View Full Record in Web of Science")</f>
        <v>View Full Record in Web of Science</v>
      </c>
    </row>
    <row r="705" spans="1:72" x14ac:dyDescent="0.15">
      <c r="A705" t="s">
        <v>72</v>
      </c>
      <c r="B705" t="s">
        <v>11176</v>
      </c>
      <c r="C705" t="s">
        <v>74</v>
      </c>
      <c r="D705" t="s">
        <v>74</v>
      </c>
      <c r="E705" t="s">
        <v>74</v>
      </c>
      <c r="F705" t="s">
        <v>11177</v>
      </c>
      <c r="G705" t="s">
        <v>74</v>
      </c>
      <c r="H705" t="s">
        <v>74</v>
      </c>
      <c r="I705" t="s">
        <v>11178</v>
      </c>
      <c r="J705" t="s">
        <v>11179</v>
      </c>
      <c r="K705" t="s">
        <v>74</v>
      </c>
      <c r="L705" t="s">
        <v>74</v>
      </c>
      <c r="M705" t="s">
        <v>78</v>
      </c>
      <c r="N705" t="s">
        <v>79</v>
      </c>
      <c r="O705" t="s">
        <v>74</v>
      </c>
      <c r="P705" t="s">
        <v>74</v>
      </c>
      <c r="Q705" t="s">
        <v>74</v>
      </c>
      <c r="R705" t="s">
        <v>74</v>
      </c>
      <c r="S705" t="s">
        <v>74</v>
      </c>
      <c r="T705" t="s">
        <v>11180</v>
      </c>
      <c r="U705" t="s">
        <v>74</v>
      </c>
      <c r="V705" t="s">
        <v>74</v>
      </c>
      <c r="W705" t="s">
        <v>3253</v>
      </c>
      <c r="X705" t="s">
        <v>2367</v>
      </c>
      <c r="Y705" t="s">
        <v>11181</v>
      </c>
      <c r="Z705" t="s">
        <v>11182</v>
      </c>
      <c r="AA705" t="s">
        <v>11183</v>
      </c>
      <c r="AB705" t="s">
        <v>74</v>
      </c>
      <c r="AC705" t="s">
        <v>74</v>
      </c>
      <c r="AD705" t="s">
        <v>74</v>
      </c>
      <c r="AE705" t="s">
        <v>74</v>
      </c>
      <c r="AF705" t="s">
        <v>74</v>
      </c>
      <c r="AG705">
        <v>16</v>
      </c>
      <c r="AH705">
        <v>1</v>
      </c>
      <c r="AI705">
        <v>1</v>
      </c>
      <c r="AJ705">
        <v>0</v>
      </c>
      <c r="AK705">
        <v>1</v>
      </c>
      <c r="AL705" t="s">
        <v>1677</v>
      </c>
      <c r="AM705" t="s">
        <v>1593</v>
      </c>
      <c r="AN705" t="s">
        <v>1678</v>
      </c>
      <c r="AO705" t="s">
        <v>11184</v>
      </c>
      <c r="AP705" t="s">
        <v>74</v>
      </c>
      <c r="AQ705" t="s">
        <v>74</v>
      </c>
      <c r="AR705" t="s">
        <v>11185</v>
      </c>
      <c r="AS705" t="s">
        <v>11186</v>
      </c>
      <c r="AT705" t="s">
        <v>9841</v>
      </c>
      <c r="AU705">
        <v>2007</v>
      </c>
      <c r="AV705">
        <v>38</v>
      </c>
      <c r="AW705">
        <v>2</v>
      </c>
      <c r="AX705" t="s">
        <v>74</v>
      </c>
      <c r="AY705" t="s">
        <v>74</v>
      </c>
      <c r="AZ705" t="s">
        <v>74</v>
      </c>
      <c r="BA705" t="s">
        <v>74</v>
      </c>
      <c r="BB705">
        <v>140</v>
      </c>
      <c r="BC705">
        <v>143</v>
      </c>
      <c r="BD705" t="s">
        <v>74</v>
      </c>
      <c r="BE705" t="s">
        <v>11187</v>
      </c>
      <c r="BF705" t="str">
        <f>HYPERLINK("http://dx.doi.org/10.1134/S1067413607020142","http://dx.doi.org/10.1134/S1067413607020142")</f>
        <v>http://dx.doi.org/10.1134/S1067413607020142</v>
      </c>
      <c r="BG705" t="s">
        <v>74</v>
      </c>
      <c r="BH705" t="s">
        <v>74</v>
      </c>
      <c r="BI705">
        <v>4</v>
      </c>
      <c r="BJ705" t="s">
        <v>910</v>
      </c>
      <c r="BK705" t="s">
        <v>98</v>
      </c>
      <c r="BL705" t="s">
        <v>911</v>
      </c>
      <c r="BM705" t="s">
        <v>11188</v>
      </c>
      <c r="BN705" t="s">
        <v>74</v>
      </c>
      <c r="BO705" t="s">
        <v>74</v>
      </c>
      <c r="BP705" t="s">
        <v>74</v>
      </c>
      <c r="BQ705" t="s">
        <v>74</v>
      </c>
      <c r="BR705" t="s">
        <v>101</v>
      </c>
      <c r="BS705" t="s">
        <v>11189</v>
      </c>
      <c r="BT705" t="str">
        <f>HYPERLINK("https%3A%2F%2Fwww.webofscience.com%2Fwos%2Fwoscc%2Ffull-record%2FWOS:000245405700014","View Full Record in Web of Science")</f>
        <v>View Full Record in Web of Science</v>
      </c>
    </row>
    <row r="706" spans="1:72" x14ac:dyDescent="0.15">
      <c r="A706" t="s">
        <v>72</v>
      </c>
      <c r="B706" t="s">
        <v>11190</v>
      </c>
      <c r="C706" t="s">
        <v>74</v>
      </c>
      <c r="D706" t="s">
        <v>74</v>
      </c>
      <c r="E706" t="s">
        <v>74</v>
      </c>
      <c r="F706" t="s">
        <v>11191</v>
      </c>
      <c r="G706" t="s">
        <v>74</v>
      </c>
      <c r="H706" t="s">
        <v>74</v>
      </c>
      <c r="I706" t="s">
        <v>11192</v>
      </c>
      <c r="J706" t="s">
        <v>2701</v>
      </c>
      <c r="K706" t="s">
        <v>74</v>
      </c>
      <c r="L706" t="s">
        <v>74</v>
      </c>
      <c r="M706" t="s">
        <v>78</v>
      </c>
      <c r="N706" t="s">
        <v>79</v>
      </c>
      <c r="O706" t="s">
        <v>74</v>
      </c>
      <c r="P706" t="s">
        <v>74</v>
      </c>
      <c r="Q706" t="s">
        <v>74</v>
      </c>
      <c r="R706" t="s">
        <v>74</v>
      </c>
      <c r="S706" t="s">
        <v>74</v>
      </c>
      <c r="T706" t="s">
        <v>11193</v>
      </c>
      <c r="U706" t="s">
        <v>11194</v>
      </c>
      <c r="V706" t="s">
        <v>11195</v>
      </c>
      <c r="W706" t="s">
        <v>11196</v>
      </c>
      <c r="X706" t="s">
        <v>11197</v>
      </c>
      <c r="Y706" t="s">
        <v>11198</v>
      </c>
      <c r="Z706" t="s">
        <v>11199</v>
      </c>
      <c r="AA706" t="s">
        <v>11200</v>
      </c>
      <c r="AB706" t="s">
        <v>11201</v>
      </c>
      <c r="AC706" t="s">
        <v>74</v>
      </c>
      <c r="AD706" t="s">
        <v>74</v>
      </c>
      <c r="AE706" t="s">
        <v>74</v>
      </c>
      <c r="AF706" t="s">
        <v>74</v>
      </c>
      <c r="AG706">
        <v>47</v>
      </c>
      <c r="AH706">
        <v>7</v>
      </c>
      <c r="AI706">
        <v>10</v>
      </c>
      <c r="AJ706">
        <v>1</v>
      </c>
      <c r="AK706">
        <v>12</v>
      </c>
      <c r="AL706" t="s">
        <v>2709</v>
      </c>
      <c r="AM706" t="s">
        <v>2710</v>
      </c>
      <c r="AN706" t="s">
        <v>2711</v>
      </c>
      <c r="AO706" t="s">
        <v>2712</v>
      </c>
      <c r="AP706" t="s">
        <v>74</v>
      </c>
      <c r="AQ706" t="s">
        <v>74</v>
      </c>
      <c r="AR706" t="s">
        <v>2713</v>
      </c>
      <c r="AS706" t="s">
        <v>2714</v>
      </c>
      <c r="AT706" t="s">
        <v>9849</v>
      </c>
      <c r="AU706">
        <v>2007</v>
      </c>
      <c r="AV706">
        <v>50</v>
      </c>
      <c r="AW706">
        <v>3</v>
      </c>
      <c r="AX706" t="s">
        <v>74</v>
      </c>
      <c r="AY706" t="s">
        <v>74</v>
      </c>
      <c r="AZ706" t="s">
        <v>74</v>
      </c>
      <c r="BA706" t="s">
        <v>74</v>
      </c>
      <c r="BB706">
        <v>371</v>
      </c>
      <c r="BC706">
        <v>384</v>
      </c>
      <c r="BD706" t="s">
        <v>74</v>
      </c>
      <c r="BE706" t="s">
        <v>11202</v>
      </c>
      <c r="BF706" t="str">
        <f>HYPERLINK("http://dx.doi.org/10.1007/s11430-007-2011-7","http://dx.doi.org/10.1007/s11430-007-2011-7")</f>
        <v>http://dx.doi.org/10.1007/s11430-007-2011-7</v>
      </c>
      <c r="BG706" t="s">
        <v>74</v>
      </c>
      <c r="BH706" t="s">
        <v>74</v>
      </c>
      <c r="BI706">
        <v>14</v>
      </c>
      <c r="BJ706" t="s">
        <v>151</v>
      </c>
      <c r="BK706" t="s">
        <v>98</v>
      </c>
      <c r="BL706" t="s">
        <v>152</v>
      </c>
      <c r="BM706" t="s">
        <v>11203</v>
      </c>
      <c r="BN706" t="s">
        <v>74</v>
      </c>
      <c r="BO706" t="s">
        <v>74</v>
      </c>
      <c r="BP706" t="s">
        <v>74</v>
      </c>
      <c r="BQ706" t="s">
        <v>74</v>
      </c>
      <c r="BR706" t="s">
        <v>101</v>
      </c>
      <c r="BS706" t="s">
        <v>11204</v>
      </c>
      <c r="BT706" t="str">
        <f>HYPERLINK("https%3A%2F%2Fwww.webofscience.com%2Fwos%2Fwoscc%2Ffull-record%2FWOS:000246031700006","View Full Record in Web of Science")</f>
        <v>View Full Record in Web of Science</v>
      </c>
    </row>
    <row r="707" spans="1:72" x14ac:dyDescent="0.15">
      <c r="A707" t="s">
        <v>72</v>
      </c>
      <c r="B707" t="s">
        <v>11205</v>
      </c>
      <c r="C707" t="s">
        <v>74</v>
      </c>
      <c r="D707" t="s">
        <v>74</v>
      </c>
      <c r="E707" t="s">
        <v>74</v>
      </c>
      <c r="F707" t="s">
        <v>11205</v>
      </c>
      <c r="G707" t="s">
        <v>74</v>
      </c>
      <c r="H707" t="s">
        <v>74</v>
      </c>
      <c r="I707" t="s">
        <v>11206</v>
      </c>
      <c r="J707" t="s">
        <v>11207</v>
      </c>
      <c r="K707" t="s">
        <v>74</v>
      </c>
      <c r="L707" t="s">
        <v>74</v>
      </c>
      <c r="M707" t="s">
        <v>78</v>
      </c>
      <c r="N707" t="s">
        <v>620</v>
      </c>
      <c r="O707" t="s">
        <v>74</v>
      </c>
      <c r="P707" t="s">
        <v>74</v>
      </c>
      <c r="Q707" t="s">
        <v>74</v>
      </c>
      <c r="R707" t="s">
        <v>74</v>
      </c>
      <c r="S707" t="s">
        <v>74</v>
      </c>
      <c r="T707" t="s">
        <v>74</v>
      </c>
      <c r="U707" t="s">
        <v>74</v>
      </c>
      <c r="V707" t="s">
        <v>74</v>
      </c>
      <c r="W707" t="s">
        <v>74</v>
      </c>
      <c r="X707" t="s">
        <v>74</v>
      </c>
      <c r="Y707" t="s">
        <v>74</v>
      </c>
      <c r="Z707" t="s">
        <v>74</v>
      </c>
      <c r="AA707" t="s">
        <v>74</v>
      </c>
      <c r="AB707" t="s">
        <v>74</v>
      </c>
      <c r="AC707" t="s">
        <v>74</v>
      </c>
      <c r="AD707" t="s">
        <v>74</v>
      </c>
      <c r="AE707" t="s">
        <v>74</v>
      </c>
      <c r="AF707" t="s">
        <v>74</v>
      </c>
      <c r="AG707">
        <v>0</v>
      </c>
      <c r="AH707">
        <v>0</v>
      </c>
      <c r="AI707">
        <v>0</v>
      </c>
      <c r="AJ707">
        <v>0</v>
      </c>
      <c r="AK707">
        <v>0</v>
      </c>
      <c r="AL707" t="s">
        <v>11208</v>
      </c>
      <c r="AM707" t="s">
        <v>788</v>
      </c>
      <c r="AN707" t="s">
        <v>11209</v>
      </c>
      <c r="AO707" t="s">
        <v>11210</v>
      </c>
      <c r="AP707" t="s">
        <v>11211</v>
      </c>
      <c r="AQ707" t="s">
        <v>74</v>
      </c>
      <c r="AR707" t="s">
        <v>11212</v>
      </c>
      <c r="AS707" t="s">
        <v>11213</v>
      </c>
      <c r="AT707" t="s">
        <v>11214</v>
      </c>
      <c r="AU707">
        <v>2007</v>
      </c>
      <c r="AV707">
        <v>51</v>
      </c>
      <c r="AW707">
        <v>1</v>
      </c>
      <c r="AX707" t="s">
        <v>74</v>
      </c>
      <c r="AY707" t="s">
        <v>74</v>
      </c>
      <c r="AZ707" t="s">
        <v>74</v>
      </c>
      <c r="BA707" t="s">
        <v>74</v>
      </c>
      <c r="BB707">
        <v>188</v>
      </c>
      <c r="BC707">
        <v>189</v>
      </c>
      <c r="BD707" t="s">
        <v>74</v>
      </c>
      <c r="BE707" t="s">
        <v>74</v>
      </c>
      <c r="BF707" t="s">
        <v>74</v>
      </c>
      <c r="BG707" t="s">
        <v>74</v>
      </c>
      <c r="BH707" t="s">
        <v>74</v>
      </c>
      <c r="BI707">
        <v>2</v>
      </c>
      <c r="BJ707" t="s">
        <v>11215</v>
      </c>
      <c r="BK707" t="s">
        <v>6896</v>
      </c>
      <c r="BL707" t="s">
        <v>11215</v>
      </c>
      <c r="BM707" t="s">
        <v>11216</v>
      </c>
      <c r="BN707" t="s">
        <v>74</v>
      </c>
      <c r="BO707" t="s">
        <v>74</v>
      </c>
      <c r="BP707" t="s">
        <v>74</v>
      </c>
      <c r="BQ707" t="s">
        <v>74</v>
      </c>
      <c r="BR707" t="s">
        <v>101</v>
      </c>
      <c r="BS707" t="s">
        <v>11217</v>
      </c>
      <c r="BT707" t="str">
        <f>HYPERLINK("https%3A%2F%2Fwww.webofscience.com%2Fwos%2Fwoscc%2Ffull-record%2FWOS:000244534600025","View Full Record in Web of Science")</f>
        <v>View Full Record in Web of Science</v>
      </c>
    </row>
    <row r="708" spans="1:72" x14ac:dyDescent="0.15">
      <c r="A708" t="s">
        <v>72</v>
      </c>
      <c r="B708" t="s">
        <v>11218</v>
      </c>
      <c r="C708" t="s">
        <v>74</v>
      </c>
      <c r="D708" t="s">
        <v>74</v>
      </c>
      <c r="E708" t="s">
        <v>74</v>
      </c>
      <c r="F708" t="s">
        <v>11219</v>
      </c>
      <c r="G708" t="s">
        <v>74</v>
      </c>
      <c r="H708" t="s">
        <v>74</v>
      </c>
      <c r="I708" t="s">
        <v>11220</v>
      </c>
      <c r="J708" t="s">
        <v>11221</v>
      </c>
      <c r="K708" t="s">
        <v>74</v>
      </c>
      <c r="L708" t="s">
        <v>74</v>
      </c>
      <c r="M708" t="s">
        <v>78</v>
      </c>
      <c r="N708" t="s">
        <v>79</v>
      </c>
      <c r="O708" t="s">
        <v>74</v>
      </c>
      <c r="P708" t="s">
        <v>74</v>
      </c>
      <c r="Q708" t="s">
        <v>74</v>
      </c>
      <c r="R708" t="s">
        <v>74</v>
      </c>
      <c r="S708" t="s">
        <v>74</v>
      </c>
      <c r="T708" t="s">
        <v>74</v>
      </c>
      <c r="U708" t="s">
        <v>74</v>
      </c>
      <c r="V708" t="s">
        <v>11222</v>
      </c>
      <c r="W708" t="s">
        <v>11223</v>
      </c>
      <c r="X708" t="s">
        <v>2367</v>
      </c>
      <c r="Y708" t="s">
        <v>11181</v>
      </c>
      <c r="Z708" t="s">
        <v>74</v>
      </c>
      <c r="AA708" t="s">
        <v>74</v>
      </c>
      <c r="AB708" t="s">
        <v>74</v>
      </c>
      <c r="AC708" t="s">
        <v>74</v>
      </c>
      <c r="AD708" t="s">
        <v>74</v>
      </c>
      <c r="AE708" t="s">
        <v>74</v>
      </c>
      <c r="AF708" t="s">
        <v>74</v>
      </c>
      <c r="AG708">
        <v>14</v>
      </c>
      <c r="AH708">
        <v>0</v>
      </c>
      <c r="AI708">
        <v>0</v>
      </c>
      <c r="AJ708">
        <v>0</v>
      </c>
      <c r="AK708">
        <v>0</v>
      </c>
      <c r="AL708" t="s">
        <v>11224</v>
      </c>
      <c r="AM708" t="s">
        <v>11225</v>
      </c>
      <c r="AN708" t="s">
        <v>11226</v>
      </c>
      <c r="AO708" t="s">
        <v>11227</v>
      </c>
      <c r="AP708" t="s">
        <v>74</v>
      </c>
      <c r="AQ708" t="s">
        <v>74</v>
      </c>
      <c r="AR708" t="s">
        <v>11228</v>
      </c>
      <c r="AS708" t="s">
        <v>11229</v>
      </c>
      <c r="AT708" t="s">
        <v>9841</v>
      </c>
      <c r="AU708">
        <v>2007</v>
      </c>
      <c r="AV708">
        <v>34</v>
      </c>
      <c r="AW708">
        <v>2</v>
      </c>
      <c r="AX708" t="s">
        <v>74</v>
      </c>
      <c r="AY708" t="s">
        <v>74</v>
      </c>
      <c r="AZ708" t="s">
        <v>74</v>
      </c>
      <c r="BA708" t="s">
        <v>74</v>
      </c>
      <c r="BB708">
        <v>171</v>
      </c>
      <c r="BC708">
        <v>174</v>
      </c>
      <c r="BD708" t="s">
        <v>74</v>
      </c>
      <c r="BE708" t="s">
        <v>11230</v>
      </c>
      <c r="BF708" t="str">
        <f>HYPERLINK("http://dx.doi.org/10.1134/S0097807807020078","http://dx.doi.org/10.1134/S0097807807020078")</f>
        <v>http://dx.doi.org/10.1134/S0097807807020078</v>
      </c>
      <c r="BG708" t="s">
        <v>74</v>
      </c>
      <c r="BH708" t="s">
        <v>74</v>
      </c>
      <c r="BI708">
        <v>4</v>
      </c>
      <c r="BJ708" t="s">
        <v>4592</v>
      </c>
      <c r="BK708" t="s">
        <v>98</v>
      </c>
      <c r="BL708" t="s">
        <v>4592</v>
      </c>
      <c r="BM708" t="s">
        <v>11231</v>
      </c>
      <c r="BN708" t="s">
        <v>74</v>
      </c>
      <c r="BO708" t="s">
        <v>74</v>
      </c>
      <c r="BP708" t="s">
        <v>74</v>
      </c>
      <c r="BQ708" t="s">
        <v>74</v>
      </c>
      <c r="BR708" t="s">
        <v>101</v>
      </c>
      <c r="BS708" t="s">
        <v>11232</v>
      </c>
      <c r="BT708" t="str">
        <f>HYPERLINK("https%3A%2F%2Fwww.webofscience.com%2Fwos%2Fwoscc%2Ffull-record%2FWOS:000254731600007","View Full Record in Web of Science")</f>
        <v>View Full Record in Web of Science</v>
      </c>
    </row>
    <row r="709" spans="1:72" x14ac:dyDescent="0.15">
      <c r="A709" t="s">
        <v>72</v>
      </c>
      <c r="B709" t="s">
        <v>11233</v>
      </c>
      <c r="C709" t="s">
        <v>74</v>
      </c>
      <c r="D709" t="s">
        <v>74</v>
      </c>
      <c r="E709" t="s">
        <v>74</v>
      </c>
      <c r="F709" t="s">
        <v>11234</v>
      </c>
      <c r="G709" t="s">
        <v>74</v>
      </c>
      <c r="H709" t="s">
        <v>74</v>
      </c>
      <c r="I709" t="s">
        <v>11235</v>
      </c>
      <c r="J709" t="s">
        <v>6243</v>
      </c>
      <c r="K709" t="s">
        <v>74</v>
      </c>
      <c r="L709" t="s">
        <v>74</v>
      </c>
      <c r="M709" t="s">
        <v>78</v>
      </c>
      <c r="N709" t="s">
        <v>79</v>
      </c>
      <c r="O709" t="s">
        <v>74</v>
      </c>
      <c r="P709" t="s">
        <v>74</v>
      </c>
      <c r="Q709" t="s">
        <v>74</v>
      </c>
      <c r="R709" t="s">
        <v>74</v>
      </c>
      <c r="S709" t="s">
        <v>74</v>
      </c>
      <c r="T709" t="s">
        <v>11236</v>
      </c>
      <c r="U709" t="s">
        <v>74</v>
      </c>
      <c r="V709" t="s">
        <v>11237</v>
      </c>
      <c r="W709" t="s">
        <v>11238</v>
      </c>
      <c r="X709" t="s">
        <v>11239</v>
      </c>
      <c r="Y709" t="s">
        <v>11240</v>
      </c>
      <c r="Z709" t="s">
        <v>11241</v>
      </c>
      <c r="AA709" t="s">
        <v>74</v>
      </c>
      <c r="AB709" t="s">
        <v>74</v>
      </c>
      <c r="AC709" t="s">
        <v>74</v>
      </c>
      <c r="AD709" t="s">
        <v>74</v>
      </c>
      <c r="AE709" t="s">
        <v>74</v>
      </c>
      <c r="AF709" t="s">
        <v>74</v>
      </c>
      <c r="AG709">
        <v>8</v>
      </c>
      <c r="AH709">
        <v>15</v>
      </c>
      <c r="AI709">
        <v>15</v>
      </c>
      <c r="AJ709">
        <v>2</v>
      </c>
      <c r="AK709">
        <v>8</v>
      </c>
      <c r="AL709" t="s">
        <v>5698</v>
      </c>
      <c r="AM709" t="s">
        <v>3921</v>
      </c>
      <c r="AN709" t="s">
        <v>5699</v>
      </c>
      <c r="AO709" t="s">
        <v>6250</v>
      </c>
      <c r="AP709" t="s">
        <v>74</v>
      </c>
      <c r="AQ709" t="s">
        <v>74</v>
      </c>
      <c r="AR709" t="s">
        <v>6251</v>
      </c>
      <c r="AS709" t="s">
        <v>6252</v>
      </c>
      <c r="AT709" t="s">
        <v>11214</v>
      </c>
      <c r="AU709">
        <v>2007</v>
      </c>
      <c r="AV709">
        <v>18</v>
      </c>
      <c r="AW709">
        <v>1</v>
      </c>
      <c r="AX709" t="s">
        <v>74</v>
      </c>
      <c r="AY709" t="s">
        <v>74</v>
      </c>
      <c r="AZ709" t="s">
        <v>74</v>
      </c>
      <c r="BA709" t="s">
        <v>74</v>
      </c>
      <c r="BB709">
        <v>36</v>
      </c>
      <c r="BC709">
        <v>40</v>
      </c>
      <c r="BD709" t="s">
        <v>74</v>
      </c>
      <c r="BE709" t="s">
        <v>11242</v>
      </c>
      <c r="BF709" t="str">
        <f>HYPERLINK("http://dx.doi.org/10.1580/06-WEME-OR-029R.1","http://dx.doi.org/10.1580/06-WEME-OR-029R.1")</f>
        <v>http://dx.doi.org/10.1580/06-WEME-OR-029R.1</v>
      </c>
      <c r="BG709" t="s">
        <v>74</v>
      </c>
      <c r="BH709" t="s">
        <v>74</v>
      </c>
      <c r="BI709">
        <v>5</v>
      </c>
      <c r="BJ709" t="s">
        <v>6255</v>
      </c>
      <c r="BK709" t="s">
        <v>98</v>
      </c>
      <c r="BL709" t="s">
        <v>6255</v>
      </c>
      <c r="BM709" t="s">
        <v>11243</v>
      </c>
      <c r="BN709">
        <v>17447712</v>
      </c>
      <c r="BO709" t="s">
        <v>154</v>
      </c>
      <c r="BP709" t="s">
        <v>74</v>
      </c>
      <c r="BQ709" t="s">
        <v>74</v>
      </c>
      <c r="BR709" t="s">
        <v>101</v>
      </c>
      <c r="BS709" t="s">
        <v>11244</v>
      </c>
      <c r="BT709" t="str">
        <f>HYPERLINK("https%3A%2F%2Fwww.webofscience.com%2Fwos%2Fwoscc%2Ffull-record%2FWOS:000245403500008","View Full Record in Web of Science")</f>
        <v>View Full Record in Web of Science</v>
      </c>
    </row>
    <row r="710" spans="1:72" x14ac:dyDescent="0.15">
      <c r="A710" t="s">
        <v>72</v>
      </c>
      <c r="B710" t="s">
        <v>11245</v>
      </c>
      <c r="C710" t="s">
        <v>74</v>
      </c>
      <c r="D710" t="s">
        <v>74</v>
      </c>
      <c r="E710" t="s">
        <v>74</v>
      </c>
      <c r="F710" t="s">
        <v>11246</v>
      </c>
      <c r="G710" t="s">
        <v>74</v>
      </c>
      <c r="H710" t="s">
        <v>74</v>
      </c>
      <c r="I710" t="s">
        <v>11247</v>
      </c>
      <c r="J710" t="s">
        <v>7937</v>
      </c>
      <c r="K710" t="s">
        <v>74</v>
      </c>
      <c r="L710" t="s">
        <v>74</v>
      </c>
      <c r="M710" t="s">
        <v>78</v>
      </c>
      <c r="N710" t="s">
        <v>79</v>
      </c>
      <c r="O710" t="s">
        <v>74</v>
      </c>
      <c r="P710" t="s">
        <v>74</v>
      </c>
      <c r="Q710" t="s">
        <v>74</v>
      </c>
      <c r="R710" t="s">
        <v>74</v>
      </c>
      <c r="S710" t="s">
        <v>74</v>
      </c>
      <c r="T710" t="s">
        <v>74</v>
      </c>
      <c r="U710" t="s">
        <v>11248</v>
      </c>
      <c r="V710" t="s">
        <v>11249</v>
      </c>
      <c r="W710" t="s">
        <v>11250</v>
      </c>
      <c r="X710" t="s">
        <v>11251</v>
      </c>
      <c r="Y710" t="s">
        <v>11252</v>
      </c>
      <c r="Z710" t="s">
        <v>11253</v>
      </c>
      <c r="AA710" t="s">
        <v>11254</v>
      </c>
      <c r="AB710" t="s">
        <v>11255</v>
      </c>
      <c r="AC710" t="s">
        <v>74</v>
      </c>
      <c r="AD710" t="s">
        <v>74</v>
      </c>
      <c r="AE710" t="s">
        <v>74</v>
      </c>
      <c r="AF710" t="s">
        <v>74</v>
      </c>
      <c r="AG710">
        <v>51</v>
      </c>
      <c r="AH710">
        <v>38</v>
      </c>
      <c r="AI710">
        <v>40</v>
      </c>
      <c r="AJ710">
        <v>0</v>
      </c>
      <c r="AK710">
        <v>7</v>
      </c>
      <c r="AL710" t="s">
        <v>1202</v>
      </c>
      <c r="AM710" t="s">
        <v>1203</v>
      </c>
      <c r="AN710" t="s">
        <v>1204</v>
      </c>
      <c r="AO710" t="s">
        <v>7946</v>
      </c>
      <c r="AP710" t="s">
        <v>7947</v>
      </c>
      <c r="AQ710" t="s">
        <v>74</v>
      </c>
      <c r="AR710" t="s">
        <v>7948</v>
      </c>
      <c r="AS710" t="s">
        <v>7949</v>
      </c>
      <c r="AT710" t="s">
        <v>9849</v>
      </c>
      <c r="AU710">
        <v>2007</v>
      </c>
      <c r="AV710">
        <v>36</v>
      </c>
      <c r="AW710">
        <v>2</v>
      </c>
      <c r="AX710" t="s">
        <v>74</v>
      </c>
      <c r="AY710" t="s">
        <v>74</v>
      </c>
      <c r="AZ710" t="s">
        <v>74</v>
      </c>
      <c r="BA710" t="s">
        <v>74</v>
      </c>
      <c r="BB710">
        <v>201</v>
      </c>
      <c r="BC710">
        <v>212</v>
      </c>
      <c r="BD710" t="s">
        <v>74</v>
      </c>
      <c r="BE710" t="s">
        <v>11256</v>
      </c>
      <c r="BF710" t="str">
        <f>HYPERLINK("http://dx.doi.org/10.1111/j.1463-6409.2006.00271.x","http://dx.doi.org/10.1111/j.1463-6409.2006.00271.x")</f>
        <v>http://dx.doi.org/10.1111/j.1463-6409.2006.00271.x</v>
      </c>
      <c r="BG710" t="s">
        <v>74</v>
      </c>
      <c r="BH710" t="s">
        <v>74</v>
      </c>
      <c r="BI710">
        <v>12</v>
      </c>
      <c r="BJ710" t="s">
        <v>7951</v>
      </c>
      <c r="BK710" t="s">
        <v>98</v>
      </c>
      <c r="BL710" t="s">
        <v>7951</v>
      </c>
      <c r="BM710" t="s">
        <v>11257</v>
      </c>
      <c r="BN710" t="s">
        <v>74</v>
      </c>
      <c r="BO710" t="s">
        <v>74</v>
      </c>
      <c r="BP710" t="s">
        <v>74</v>
      </c>
      <c r="BQ710" t="s">
        <v>74</v>
      </c>
      <c r="BR710" t="s">
        <v>101</v>
      </c>
      <c r="BS710" t="s">
        <v>11258</v>
      </c>
      <c r="BT710" t="str">
        <f>HYPERLINK("https%3A%2F%2Fwww.webofscience.com%2Fwos%2Fwoscc%2Ffull-record%2FWOS:000244006700006","View Full Record in Web of Science")</f>
        <v>View Full Record in Web of Science</v>
      </c>
    </row>
    <row r="711" spans="1:72" x14ac:dyDescent="0.15">
      <c r="A711" t="s">
        <v>72</v>
      </c>
      <c r="B711" t="s">
        <v>11259</v>
      </c>
      <c r="C711" t="s">
        <v>74</v>
      </c>
      <c r="D711" t="s">
        <v>74</v>
      </c>
      <c r="E711" t="s">
        <v>74</v>
      </c>
      <c r="F711" t="s">
        <v>11260</v>
      </c>
      <c r="G711" t="s">
        <v>74</v>
      </c>
      <c r="H711" t="s">
        <v>74</v>
      </c>
      <c r="I711" t="s">
        <v>11261</v>
      </c>
      <c r="J711" t="s">
        <v>694</v>
      </c>
      <c r="K711" t="s">
        <v>74</v>
      </c>
      <c r="L711" t="s">
        <v>74</v>
      </c>
      <c r="M711" t="s">
        <v>78</v>
      </c>
      <c r="N711" t="s">
        <v>79</v>
      </c>
      <c r="O711" t="s">
        <v>74</v>
      </c>
      <c r="P711" t="s">
        <v>74</v>
      </c>
      <c r="Q711" t="s">
        <v>74</v>
      </c>
      <c r="R711" t="s">
        <v>74</v>
      </c>
      <c r="S711" t="s">
        <v>74</v>
      </c>
      <c r="T711" t="s">
        <v>11262</v>
      </c>
      <c r="U711" t="s">
        <v>11263</v>
      </c>
      <c r="V711" t="s">
        <v>11264</v>
      </c>
      <c r="W711" t="s">
        <v>11265</v>
      </c>
      <c r="X711" t="s">
        <v>11266</v>
      </c>
      <c r="Y711" t="s">
        <v>11267</v>
      </c>
      <c r="Z711" t="s">
        <v>11268</v>
      </c>
      <c r="AA711" t="s">
        <v>11269</v>
      </c>
      <c r="AB711" t="s">
        <v>11270</v>
      </c>
      <c r="AC711" t="s">
        <v>74</v>
      </c>
      <c r="AD711" t="s">
        <v>74</v>
      </c>
      <c r="AE711" t="s">
        <v>74</v>
      </c>
      <c r="AF711" t="s">
        <v>74</v>
      </c>
      <c r="AG711">
        <v>83</v>
      </c>
      <c r="AH711">
        <v>70</v>
      </c>
      <c r="AI711">
        <v>73</v>
      </c>
      <c r="AJ711">
        <v>0</v>
      </c>
      <c r="AK711">
        <v>12</v>
      </c>
      <c r="AL711" t="s">
        <v>272</v>
      </c>
      <c r="AM711" t="s">
        <v>273</v>
      </c>
      <c r="AN711" t="s">
        <v>274</v>
      </c>
      <c r="AO711" t="s">
        <v>704</v>
      </c>
      <c r="AP711" t="s">
        <v>705</v>
      </c>
      <c r="AQ711" t="s">
        <v>74</v>
      </c>
      <c r="AR711" t="s">
        <v>706</v>
      </c>
      <c r="AS711" t="s">
        <v>707</v>
      </c>
      <c r="AT711" t="s">
        <v>11271</v>
      </c>
      <c r="AU711">
        <v>2007</v>
      </c>
      <c r="AV711">
        <v>254</v>
      </c>
      <c r="AW711" t="s">
        <v>686</v>
      </c>
      <c r="AX711" t="s">
        <v>74</v>
      </c>
      <c r="AY711" t="s">
        <v>74</v>
      </c>
      <c r="AZ711" t="s">
        <v>74</v>
      </c>
      <c r="BA711" t="s">
        <v>74</v>
      </c>
      <c r="BB711">
        <v>377</v>
      </c>
      <c r="BC711">
        <v>392</v>
      </c>
      <c r="BD711" t="s">
        <v>74</v>
      </c>
      <c r="BE711" t="s">
        <v>11272</v>
      </c>
      <c r="BF711" t="str">
        <f>HYPERLINK("http://dx.doi.org/10.1016/j.epsl.2006.11.046","http://dx.doi.org/10.1016/j.epsl.2006.11.046")</f>
        <v>http://dx.doi.org/10.1016/j.epsl.2006.11.046</v>
      </c>
      <c r="BG711" t="s">
        <v>74</v>
      </c>
      <c r="BH711" t="s">
        <v>74</v>
      </c>
      <c r="BI711">
        <v>16</v>
      </c>
      <c r="BJ711" t="s">
        <v>688</v>
      </c>
      <c r="BK711" t="s">
        <v>98</v>
      </c>
      <c r="BL711" t="s">
        <v>688</v>
      </c>
      <c r="BM711" t="s">
        <v>11273</v>
      </c>
      <c r="BN711" t="s">
        <v>74</v>
      </c>
      <c r="BO711" t="s">
        <v>74</v>
      </c>
      <c r="BP711" t="s">
        <v>74</v>
      </c>
      <c r="BQ711" t="s">
        <v>74</v>
      </c>
      <c r="BR711" t="s">
        <v>101</v>
      </c>
      <c r="BS711" t="s">
        <v>11274</v>
      </c>
      <c r="BT711" t="str">
        <f>HYPERLINK("https%3A%2F%2Fwww.webofscience.com%2Fwos%2Fwoscc%2Ffull-record%2FWOS:000244801400011","View Full Record in Web of Science")</f>
        <v>View Full Record in Web of Science</v>
      </c>
    </row>
    <row r="712" spans="1:72" x14ac:dyDescent="0.15">
      <c r="A712" t="s">
        <v>72</v>
      </c>
      <c r="B712" t="s">
        <v>11275</v>
      </c>
      <c r="C712" t="s">
        <v>74</v>
      </c>
      <c r="D712" t="s">
        <v>74</v>
      </c>
      <c r="E712" t="s">
        <v>74</v>
      </c>
      <c r="F712" t="s">
        <v>11276</v>
      </c>
      <c r="G712" t="s">
        <v>74</v>
      </c>
      <c r="H712" t="s">
        <v>74</v>
      </c>
      <c r="I712" t="s">
        <v>11277</v>
      </c>
      <c r="J712" t="s">
        <v>289</v>
      </c>
      <c r="K712" t="s">
        <v>74</v>
      </c>
      <c r="L712" t="s">
        <v>74</v>
      </c>
      <c r="M712" t="s">
        <v>78</v>
      </c>
      <c r="N712" t="s">
        <v>79</v>
      </c>
      <c r="O712" t="s">
        <v>74</v>
      </c>
      <c r="P712" t="s">
        <v>74</v>
      </c>
      <c r="Q712" t="s">
        <v>74</v>
      </c>
      <c r="R712" t="s">
        <v>74</v>
      </c>
      <c r="S712" t="s">
        <v>74</v>
      </c>
      <c r="T712" t="s">
        <v>74</v>
      </c>
      <c r="U712" t="s">
        <v>11278</v>
      </c>
      <c r="V712" t="s">
        <v>11279</v>
      </c>
      <c r="W712" t="s">
        <v>11280</v>
      </c>
      <c r="X712" t="s">
        <v>11281</v>
      </c>
      <c r="Y712" t="s">
        <v>11282</v>
      </c>
      <c r="Z712" t="s">
        <v>11283</v>
      </c>
      <c r="AA712" t="s">
        <v>11284</v>
      </c>
      <c r="AB712" t="s">
        <v>11285</v>
      </c>
      <c r="AC712" t="s">
        <v>9547</v>
      </c>
      <c r="AD712" t="s">
        <v>140</v>
      </c>
      <c r="AE712" t="s">
        <v>74</v>
      </c>
      <c r="AF712" t="s">
        <v>74</v>
      </c>
      <c r="AG712">
        <v>67</v>
      </c>
      <c r="AH712">
        <v>86</v>
      </c>
      <c r="AI712">
        <v>100</v>
      </c>
      <c r="AJ712">
        <v>0</v>
      </c>
      <c r="AK712">
        <v>26</v>
      </c>
      <c r="AL712" t="s">
        <v>141</v>
      </c>
      <c r="AM712" t="s">
        <v>142</v>
      </c>
      <c r="AN712" t="s">
        <v>143</v>
      </c>
      <c r="AO712" t="s">
        <v>296</v>
      </c>
      <c r="AP712" t="s">
        <v>297</v>
      </c>
      <c r="AQ712" t="s">
        <v>74</v>
      </c>
      <c r="AR712" t="s">
        <v>289</v>
      </c>
      <c r="AS712" t="s">
        <v>298</v>
      </c>
      <c r="AT712" t="s">
        <v>11286</v>
      </c>
      <c r="AU712">
        <v>2007</v>
      </c>
      <c r="AV712">
        <v>22</v>
      </c>
      <c r="AW712">
        <v>1</v>
      </c>
      <c r="AX712" t="s">
        <v>74</v>
      </c>
      <c r="AY712" t="s">
        <v>74</v>
      </c>
      <c r="AZ712" t="s">
        <v>74</v>
      </c>
      <c r="BA712" t="s">
        <v>74</v>
      </c>
      <c r="BB712" t="s">
        <v>74</v>
      </c>
      <c r="BC712" t="s">
        <v>74</v>
      </c>
      <c r="BD712" t="s">
        <v>11287</v>
      </c>
      <c r="BE712" t="s">
        <v>11288</v>
      </c>
      <c r="BF712" t="str">
        <f>HYPERLINK("http://dx.doi.org/10.1029/2006PA001323","http://dx.doi.org/10.1029/2006PA001323")</f>
        <v>http://dx.doi.org/10.1029/2006PA001323</v>
      </c>
      <c r="BG712" t="s">
        <v>74</v>
      </c>
      <c r="BH712" t="s">
        <v>74</v>
      </c>
      <c r="BI712">
        <v>21</v>
      </c>
      <c r="BJ712" t="s">
        <v>301</v>
      </c>
      <c r="BK712" t="s">
        <v>98</v>
      </c>
      <c r="BL712" t="s">
        <v>302</v>
      </c>
      <c r="BM712" t="s">
        <v>11289</v>
      </c>
      <c r="BN712" t="s">
        <v>74</v>
      </c>
      <c r="BO712" t="s">
        <v>154</v>
      </c>
      <c r="BP712" t="s">
        <v>74</v>
      </c>
      <c r="BQ712" t="s">
        <v>74</v>
      </c>
      <c r="BR712" t="s">
        <v>101</v>
      </c>
      <c r="BS712" t="s">
        <v>11290</v>
      </c>
      <c r="BT712" t="str">
        <f>HYPERLINK("https%3A%2F%2Fwww.webofscience.com%2Fwos%2Fwoscc%2Ffull-record%2FWOS:000244710200001","View Full Record in Web of Science")</f>
        <v>View Full Record in Web of Science</v>
      </c>
    </row>
    <row r="713" spans="1:72" x14ac:dyDescent="0.15">
      <c r="A713" t="s">
        <v>72</v>
      </c>
      <c r="B713" t="s">
        <v>11291</v>
      </c>
      <c r="C713" t="s">
        <v>74</v>
      </c>
      <c r="D713" t="s">
        <v>74</v>
      </c>
      <c r="E713" t="s">
        <v>74</v>
      </c>
      <c r="F713" t="s">
        <v>11292</v>
      </c>
      <c r="G713" t="s">
        <v>74</v>
      </c>
      <c r="H713" t="s">
        <v>74</v>
      </c>
      <c r="I713" t="s">
        <v>11293</v>
      </c>
      <c r="J713" t="s">
        <v>11294</v>
      </c>
      <c r="K713" t="s">
        <v>74</v>
      </c>
      <c r="L713" t="s">
        <v>74</v>
      </c>
      <c r="M713" t="s">
        <v>78</v>
      </c>
      <c r="N713" t="s">
        <v>248</v>
      </c>
      <c r="O713" t="s">
        <v>74</v>
      </c>
      <c r="P713" t="s">
        <v>74</v>
      </c>
      <c r="Q713" t="s">
        <v>74</v>
      </c>
      <c r="R713" t="s">
        <v>74</v>
      </c>
      <c r="S713" t="s">
        <v>74</v>
      </c>
      <c r="T713" t="s">
        <v>74</v>
      </c>
      <c r="U713" t="s">
        <v>11295</v>
      </c>
      <c r="V713" t="s">
        <v>11296</v>
      </c>
      <c r="W713" t="s">
        <v>11297</v>
      </c>
      <c r="X713" t="s">
        <v>11298</v>
      </c>
      <c r="Y713" t="s">
        <v>719</v>
      </c>
      <c r="Z713" t="s">
        <v>11299</v>
      </c>
      <c r="AA713" t="s">
        <v>11300</v>
      </c>
      <c r="AB713" t="s">
        <v>11301</v>
      </c>
      <c r="AC713" t="s">
        <v>360</v>
      </c>
      <c r="AD713" t="s">
        <v>361</v>
      </c>
      <c r="AE713" t="s">
        <v>74</v>
      </c>
      <c r="AF713" t="s">
        <v>74</v>
      </c>
      <c r="AG713">
        <v>145</v>
      </c>
      <c r="AH713">
        <v>174</v>
      </c>
      <c r="AI713">
        <v>196</v>
      </c>
      <c r="AJ713">
        <v>1</v>
      </c>
      <c r="AK713">
        <v>76</v>
      </c>
      <c r="AL713" t="s">
        <v>141</v>
      </c>
      <c r="AM713" t="s">
        <v>142</v>
      </c>
      <c r="AN713" t="s">
        <v>143</v>
      </c>
      <c r="AO713" t="s">
        <v>11302</v>
      </c>
      <c r="AP713" t="s">
        <v>11303</v>
      </c>
      <c r="AQ713" t="s">
        <v>74</v>
      </c>
      <c r="AR713" t="s">
        <v>11304</v>
      </c>
      <c r="AS713" t="s">
        <v>11305</v>
      </c>
      <c r="AT713" t="s">
        <v>11306</v>
      </c>
      <c r="AU713">
        <v>2007</v>
      </c>
      <c r="AV713">
        <v>45</v>
      </c>
      <c r="AW713">
        <v>1</v>
      </c>
      <c r="AX713" t="s">
        <v>74</v>
      </c>
      <c r="AY713" t="s">
        <v>74</v>
      </c>
      <c r="AZ713" t="s">
        <v>74</v>
      </c>
      <c r="BA713" t="s">
        <v>74</v>
      </c>
      <c r="BB713" t="s">
        <v>74</v>
      </c>
      <c r="BC713" t="s">
        <v>74</v>
      </c>
      <c r="BD713" t="s">
        <v>11307</v>
      </c>
      <c r="BE713" t="s">
        <v>11308</v>
      </c>
      <c r="BF713" t="str">
        <f>HYPERLINK("http://dx.doi.org/10.1029/2005RG000192","http://dx.doi.org/10.1029/2005RG000192")</f>
        <v>http://dx.doi.org/10.1029/2005RG000192</v>
      </c>
      <c r="BG713" t="s">
        <v>74</v>
      </c>
      <c r="BH713" t="s">
        <v>74</v>
      </c>
      <c r="BI713">
        <v>26</v>
      </c>
      <c r="BJ713" t="s">
        <v>688</v>
      </c>
      <c r="BK713" t="s">
        <v>98</v>
      </c>
      <c r="BL713" t="s">
        <v>688</v>
      </c>
      <c r="BM713" t="s">
        <v>11309</v>
      </c>
      <c r="BN713" t="s">
        <v>74</v>
      </c>
      <c r="BO713" t="s">
        <v>11310</v>
      </c>
      <c r="BP713" t="s">
        <v>74</v>
      </c>
      <c r="BQ713" t="s">
        <v>74</v>
      </c>
      <c r="BR713" t="s">
        <v>101</v>
      </c>
      <c r="BS713" t="s">
        <v>11311</v>
      </c>
      <c r="BT713" t="str">
        <f>HYPERLINK("https%3A%2F%2Fwww.webofscience.com%2Fwos%2Fwoscc%2Ffull-record%2FWOS:000244479200001","View Full Record in Web of Science")</f>
        <v>View Full Record in Web of Science</v>
      </c>
    </row>
    <row r="714" spans="1:72" x14ac:dyDescent="0.15">
      <c r="A714" t="s">
        <v>72</v>
      </c>
      <c r="B714" t="s">
        <v>11312</v>
      </c>
      <c r="C714" t="s">
        <v>74</v>
      </c>
      <c r="D714" t="s">
        <v>74</v>
      </c>
      <c r="E714" t="s">
        <v>74</v>
      </c>
      <c r="F714" t="s">
        <v>11313</v>
      </c>
      <c r="G714" t="s">
        <v>74</v>
      </c>
      <c r="H714" t="s">
        <v>74</v>
      </c>
      <c r="I714" t="s">
        <v>11314</v>
      </c>
      <c r="J714" t="s">
        <v>11315</v>
      </c>
      <c r="K714" t="s">
        <v>74</v>
      </c>
      <c r="L714" t="s">
        <v>74</v>
      </c>
      <c r="M714" t="s">
        <v>78</v>
      </c>
      <c r="N714" t="s">
        <v>79</v>
      </c>
      <c r="O714" t="s">
        <v>74</v>
      </c>
      <c r="P714" t="s">
        <v>74</v>
      </c>
      <c r="Q714" t="s">
        <v>74</v>
      </c>
      <c r="R714" t="s">
        <v>74</v>
      </c>
      <c r="S714" t="s">
        <v>74</v>
      </c>
      <c r="T714" t="s">
        <v>11316</v>
      </c>
      <c r="U714" t="s">
        <v>11317</v>
      </c>
      <c r="V714" t="s">
        <v>11318</v>
      </c>
      <c r="W714" t="s">
        <v>11319</v>
      </c>
      <c r="X714" t="s">
        <v>11320</v>
      </c>
      <c r="Y714" t="s">
        <v>11321</v>
      </c>
      <c r="Z714" t="s">
        <v>11322</v>
      </c>
      <c r="AA714" t="s">
        <v>74</v>
      </c>
      <c r="AB714" t="s">
        <v>11323</v>
      </c>
      <c r="AC714" t="s">
        <v>74</v>
      </c>
      <c r="AD714" t="s">
        <v>74</v>
      </c>
      <c r="AE714" t="s">
        <v>74</v>
      </c>
      <c r="AF714" t="s">
        <v>74</v>
      </c>
      <c r="AG714">
        <v>36</v>
      </c>
      <c r="AH714">
        <v>21</v>
      </c>
      <c r="AI714">
        <v>22</v>
      </c>
      <c r="AJ714">
        <v>2</v>
      </c>
      <c r="AK714">
        <v>9</v>
      </c>
      <c r="AL714" t="s">
        <v>8293</v>
      </c>
      <c r="AM714" t="s">
        <v>8294</v>
      </c>
      <c r="AN714" t="s">
        <v>8295</v>
      </c>
      <c r="AO714" t="s">
        <v>11324</v>
      </c>
      <c r="AP714" t="s">
        <v>11325</v>
      </c>
      <c r="AQ714" t="s">
        <v>74</v>
      </c>
      <c r="AR714" t="s">
        <v>11326</v>
      </c>
      <c r="AS714" t="s">
        <v>11327</v>
      </c>
      <c r="AT714" t="s">
        <v>11328</v>
      </c>
      <c r="AU714">
        <v>2007</v>
      </c>
      <c r="AV714">
        <v>33</v>
      </c>
      <c r="AW714">
        <v>2</v>
      </c>
      <c r="AX714" t="s">
        <v>74</v>
      </c>
      <c r="AY714" t="s">
        <v>74</v>
      </c>
      <c r="AZ714" t="s">
        <v>74</v>
      </c>
      <c r="BA714" t="s">
        <v>74</v>
      </c>
      <c r="BB714">
        <v>183</v>
      </c>
      <c r="BC714">
        <v>193</v>
      </c>
      <c r="BD714" t="s">
        <v>74</v>
      </c>
      <c r="BE714" t="s">
        <v>11329</v>
      </c>
      <c r="BF714" t="str">
        <f>HYPERLINK("http://dx.doi.org/10.3354/cr033183","http://dx.doi.org/10.3354/cr033183")</f>
        <v>http://dx.doi.org/10.3354/cr033183</v>
      </c>
      <c r="BG714" t="s">
        <v>74</v>
      </c>
      <c r="BH714" t="s">
        <v>74</v>
      </c>
      <c r="BI714">
        <v>11</v>
      </c>
      <c r="BJ714" t="s">
        <v>1511</v>
      </c>
      <c r="BK714" t="s">
        <v>98</v>
      </c>
      <c r="BL714" t="s">
        <v>1512</v>
      </c>
      <c r="BM714" t="s">
        <v>11330</v>
      </c>
      <c r="BN714" t="s">
        <v>74</v>
      </c>
      <c r="BO714" t="s">
        <v>154</v>
      </c>
      <c r="BP714" t="s">
        <v>74</v>
      </c>
      <c r="BQ714" t="s">
        <v>74</v>
      </c>
      <c r="BR714" t="s">
        <v>101</v>
      </c>
      <c r="BS714" t="s">
        <v>11331</v>
      </c>
      <c r="BT714" t="str">
        <f>HYPERLINK("https%3A%2F%2Fwww.webofscience.com%2Fwos%2Fwoscc%2Ffull-record%2FWOS:000244997700006","View Full Record in Web of Science")</f>
        <v>View Full Record in Web of Science</v>
      </c>
    </row>
    <row r="715" spans="1:72" x14ac:dyDescent="0.15">
      <c r="A715" t="s">
        <v>72</v>
      </c>
      <c r="B715" t="s">
        <v>11332</v>
      </c>
      <c r="C715" t="s">
        <v>74</v>
      </c>
      <c r="D715" t="s">
        <v>74</v>
      </c>
      <c r="E715" t="s">
        <v>74</v>
      </c>
      <c r="F715" t="s">
        <v>11333</v>
      </c>
      <c r="G715" t="s">
        <v>74</v>
      </c>
      <c r="H715" t="s">
        <v>74</v>
      </c>
      <c r="I715" t="s">
        <v>11334</v>
      </c>
      <c r="J715" t="s">
        <v>11335</v>
      </c>
      <c r="K715" t="s">
        <v>74</v>
      </c>
      <c r="L715" t="s">
        <v>74</v>
      </c>
      <c r="M715" t="s">
        <v>78</v>
      </c>
      <c r="N715" t="s">
        <v>248</v>
      </c>
      <c r="O715" t="s">
        <v>74</v>
      </c>
      <c r="P715" t="s">
        <v>74</v>
      </c>
      <c r="Q715" t="s">
        <v>74</v>
      </c>
      <c r="R715" t="s">
        <v>74</v>
      </c>
      <c r="S715" t="s">
        <v>74</v>
      </c>
      <c r="T715" t="s">
        <v>11336</v>
      </c>
      <c r="U715" t="s">
        <v>11337</v>
      </c>
      <c r="V715" t="s">
        <v>11338</v>
      </c>
      <c r="W715" t="s">
        <v>11339</v>
      </c>
      <c r="X715" t="s">
        <v>4950</v>
      </c>
      <c r="Y715" t="s">
        <v>11340</v>
      </c>
      <c r="Z715" t="s">
        <v>11341</v>
      </c>
      <c r="AA715" t="s">
        <v>11342</v>
      </c>
      <c r="AB715" t="s">
        <v>11343</v>
      </c>
      <c r="AC715" t="s">
        <v>74</v>
      </c>
      <c r="AD715" t="s">
        <v>74</v>
      </c>
      <c r="AE715" t="s">
        <v>74</v>
      </c>
      <c r="AF715" t="s">
        <v>74</v>
      </c>
      <c r="AG715">
        <v>111</v>
      </c>
      <c r="AH715">
        <v>25</v>
      </c>
      <c r="AI715">
        <v>28</v>
      </c>
      <c r="AJ715">
        <v>0</v>
      </c>
      <c r="AK715">
        <v>14</v>
      </c>
      <c r="AL715" t="s">
        <v>272</v>
      </c>
      <c r="AM715" t="s">
        <v>273</v>
      </c>
      <c r="AN715" t="s">
        <v>274</v>
      </c>
      <c r="AO715" t="s">
        <v>11344</v>
      </c>
      <c r="AP715" t="s">
        <v>11345</v>
      </c>
      <c r="AQ715" t="s">
        <v>74</v>
      </c>
      <c r="AR715" t="s">
        <v>11346</v>
      </c>
      <c r="AS715" t="s">
        <v>11347</v>
      </c>
      <c r="AT715" t="s">
        <v>11328</v>
      </c>
      <c r="AU715">
        <v>2007</v>
      </c>
      <c r="AV715">
        <v>62</v>
      </c>
      <c r="AW715">
        <v>3</v>
      </c>
      <c r="AX715" t="s">
        <v>74</v>
      </c>
      <c r="AY715" t="s">
        <v>74</v>
      </c>
      <c r="AZ715" t="s">
        <v>74</v>
      </c>
      <c r="BA715" t="s">
        <v>74</v>
      </c>
      <c r="BB715">
        <v>141</v>
      </c>
      <c r="BC715">
        <v>166</v>
      </c>
      <c r="BD715" t="s">
        <v>74</v>
      </c>
      <c r="BE715" t="s">
        <v>11348</v>
      </c>
      <c r="BF715" t="str">
        <f>HYPERLINK("http://dx.doi.org/10.1016/j.marmicro.2006.08.001","http://dx.doi.org/10.1016/j.marmicro.2006.08.001")</f>
        <v>http://dx.doi.org/10.1016/j.marmicro.2006.08.001</v>
      </c>
      <c r="BG715" t="s">
        <v>74</v>
      </c>
      <c r="BH715" t="s">
        <v>74</v>
      </c>
      <c r="BI715">
        <v>26</v>
      </c>
      <c r="BJ715" t="s">
        <v>7462</v>
      </c>
      <c r="BK715" t="s">
        <v>98</v>
      </c>
      <c r="BL715" t="s">
        <v>7462</v>
      </c>
      <c r="BM715" t="s">
        <v>11349</v>
      </c>
      <c r="BN715" t="s">
        <v>74</v>
      </c>
      <c r="BO715" t="s">
        <v>74</v>
      </c>
      <c r="BP715" t="s">
        <v>74</v>
      </c>
      <c r="BQ715" t="s">
        <v>74</v>
      </c>
      <c r="BR715" t="s">
        <v>101</v>
      </c>
      <c r="BS715" t="s">
        <v>11350</v>
      </c>
      <c r="BT715" t="str">
        <f>HYPERLINK("https%3A%2F%2Fwww.webofscience.com%2Fwos%2Fwoscc%2Ffull-record%2FWOS:000244392700001","View Full Record in Web of Science")</f>
        <v>View Full Record in Web of Science</v>
      </c>
    </row>
    <row r="716" spans="1:72" x14ac:dyDescent="0.15">
      <c r="A716" t="s">
        <v>72</v>
      </c>
      <c r="B716" t="s">
        <v>11351</v>
      </c>
      <c r="C716" t="s">
        <v>74</v>
      </c>
      <c r="D716" t="s">
        <v>74</v>
      </c>
      <c r="E716" t="s">
        <v>74</v>
      </c>
      <c r="F716" t="s">
        <v>11352</v>
      </c>
      <c r="G716" t="s">
        <v>74</v>
      </c>
      <c r="H716" t="s">
        <v>74</v>
      </c>
      <c r="I716" t="s">
        <v>11353</v>
      </c>
      <c r="J716" t="s">
        <v>11335</v>
      </c>
      <c r="K716" t="s">
        <v>74</v>
      </c>
      <c r="L716" t="s">
        <v>74</v>
      </c>
      <c r="M716" t="s">
        <v>78</v>
      </c>
      <c r="N716" t="s">
        <v>79</v>
      </c>
      <c r="O716" t="s">
        <v>74</v>
      </c>
      <c r="P716" t="s">
        <v>74</v>
      </c>
      <c r="Q716" t="s">
        <v>74</v>
      </c>
      <c r="R716" t="s">
        <v>74</v>
      </c>
      <c r="S716" t="s">
        <v>74</v>
      </c>
      <c r="T716" t="s">
        <v>11354</v>
      </c>
      <c r="U716" t="s">
        <v>11355</v>
      </c>
      <c r="V716" t="s">
        <v>11356</v>
      </c>
      <c r="W716" t="s">
        <v>6295</v>
      </c>
      <c r="X716" t="s">
        <v>3744</v>
      </c>
      <c r="Y716" t="s">
        <v>11357</v>
      </c>
      <c r="Z716" t="s">
        <v>11358</v>
      </c>
      <c r="AA716" t="s">
        <v>74</v>
      </c>
      <c r="AB716" t="s">
        <v>11359</v>
      </c>
      <c r="AC716" t="s">
        <v>74</v>
      </c>
      <c r="AD716" t="s">
        <v>74</v>
      </c>
      <c r="AE716" t="s">
        <v>74</v>
      </c>
      <c r="AF716" t="s">
        <v>74</v>
      </c>
      <c r="AG716">
        <v>83</v>
      </c>
      <c r="AH716">
        <v>10</v>
      </c>
      <c r="AI716">
        <v>11</v>
      </c>
      <c r="AJ716">
        <v>2</v>
      </c>
      <c r="AK716">
        <v>16</v>
      </c>
      <c r="AL716" t="s">
        <v>272</v>
      </c>
      <c r="AM716" t="s">
        <v>273</v>
      </c>
      <c r="AN716" t="s">
        <v>274</v>
      </c>
      <c r="AO716" t="s">
        <v>11344</v>
      </c>
      <c r="AP716" t="s">
        <v>11345</v>
      </c>
      <c r="AQ716" t="s">
        <v>74</v>
      </c>
      <c r="AR716" t="s">
        <v>11346</v>
      </c>
      <c r="AS716" t="s">
        <v>11347</v>
      </c>
      <c r="AT716" t="s">
        <v>11328</v>
      </c>
      <c r="AU716">
        <v>2007</v>
      </c>
      <c r="AV716">
        <v>62</v>
      </c>
      <c r="AW716">
        <v>3</v>
      </c>
      <c r="AX716" t="s">
        <v>74</v>
      </c>
      <c r="AY716" t="s">
        <v>74</v>
      </c>
      <c r="AZ716" t="s">
        <v>74</v>
      </c>
      <c r="BA716" t="s">
        <v>74</v>
      </c>
      <c r="BB716">
        <v>194</v>
      </c>
      <c r="BC716">
        <v>210</v>
      </c>
      <c r="BD716" t="s">
        <v>74</v>
      </c>
      <c r="BE716" t="s">
        <v>11360</v>
      </c>
      <c r="BF716" t="str">
        <f>HYPERLINK("http://dx.doi.org/10.1016/j.marmicro.2006.08.004","http://dx.doi.org/10.1016/j.marmicro.2006.08.004")</f>
        <v>http://dx.doi.org/10.1016/j.marmicro.2006.08.004</v>
      </c>
      <c r="BG716" t="s">
        <v>74</v>
      </c>
      <c r="BH716" t="s">
        <v>74</v>
      </c>
      <c r="BI716">
        <v>17</v>
      </c>
      <c r="BJ716" t="s">
        <v>7462</v>
      </c>
      <c r="BK716" t="s">
        <v>98</v>
      </c>
      <c r="BL716" t="s">
        <v>7462</v>
      </c>
      <c r="BM716" t="s">
        <v>11349</v>
      </c>
      <c r="BN716" t="s">
        <v>74</v>
      </c>
      <c r="BO716" t="s">
        <v>74</v>
      </c>
      <c r="BP716" t="s">
        <v>74</v>
      </c>
      <c r="BQ716" t="s">
        <v>74</v>
      </c>
      <c r="BR716" t="s">
        <v>101</v>
      </c>
      <c r="BS716" t="s">
        <v>11361</v>
      </c>
      <c r="BT716" t="str">
        <f>HYPERLINK("https%3A%2F%2Fwww.webofscience.com%2Fwos%2Fwoscc%2Ffull-record%2FWOS:000244392700004","View Full Record in Web of Science")</f>
        <v>View Full Record in Web of Science</v>
      </c>
    </row>
    <row r="717" spans="1:72" x14ac:dyDescent="0.15">
      <c r="A717" t="s">
        <v>72</v>
      </c>
      <c r="B717" t="s">
        <v>11362</v>
      </c>
      <c r="C717" t="s">
        <v>74</v>
      </c>
      <c r="D717" t="s">
        <v>74</v>
      </c>
      <c r="E717" t="s">
        <v>74</v>
      </c>
      <c r="F717" t="s">
        <v>11363</v>
      </c>
      <c r="G717" t="s">
        <v>74</v>
      </c>
      <c r="H717" t="s">
        <v>74</v>
      </c>
      <c r="I717" t="s">
        <v>11364</v>
      </c>
      <c r="J717" t="s">
        <v>351</v>
      </c>
      <c r="K717" t="s">
        <v>74</v>
      </c>
      <c r="L717" t="s">
        <v>74</v>
      </c>
      <c r="M717" t="s">
        <v>78</v>
      </c>
      <c r="N717" t="s">
        <v>79</v>
      </c>
      <c r="O717" t="s">
        <v>74</v>
      </c>
      <c r="P717" t="s">
        <v>74</v>
      </c>
      <c r="Q717" t="s">
        <v>74</v>
      </c>
      <c r="R717" t="s">
        <v>74</v>
      </c>
      <c r="S717" t="s">
        <v>74</v>
      </c>
      <c r="T717" t="s">
        <v>74</v>
      </c>
      <c r="U717" t="s">
        <v>11365</v>
      </c>
      <c r="V717" t="s">
        <v>11366</v>
      </c>
      <c r="W717" t="s">
        <v>11367</v>
      </c>
      <c r="X717" t="s">
        <v>11368</v>
      </c>
      <c r="Y717" t="s">
        <v>11369</v>
      </c>
      <c r="Z717" t="s">
        <v>11370</v>
      </c>
      <c r="AA717" t="s">
        <v>11371</v>
      </c>
      <c r="AB717" t="s">
        <v>11372</v>
      </c>
      <c r="AC717" t="s">
        <v>480</v>
      </c>
      <c r="AD717" t="s">
        <v>140</v>
      </c>
      <c r="AE717" t="s">
        <v>74</v>
      </c>
      <c r="AF717" t="s">
        <v>74</v>
      </c>
      <c r="AG717">
        <v>30</v>
      </c>
      <c r="AH717">
        <v>156</v>
      </c>
      <c r="AI717">
        <v>178</v>
      </c>
      <c r="AJ717">
        <v>1</v>
      </c>
      <c r="AK717">
        <v>65</v>
      </c>
      <c r="AL717" t="s">
        <v>362</v>
      </c>
      <c r="AM717" t="s">
        <v>363</v>
      </c>
      <c r="AN717" t="s">
        <v>364</v>
      </c>
      <c r="AO717" t="s">
        <v>365</v>
      </c>
      <c r="AP717" t="s">
        <v>366</v>
      </c>
      <c r="AQ717" t="s">
        <v>74</v>
      </c>
      <c r="AR717" t="s">
        <v>351</v>
      </c>
      <c r="AS717" t="s">
        <v>367</v>
      </c>
      <c r="AT717" t="s">
        <v>11328</v>
      </c>
      <c r="AU717">
        <v>2007</v>
      </c>
      <c r="AV717">
        <v>445</v>
      </c>
      <c r="AW717">
        <v>7130</v>
      </c>
      <c r="AX717" t="s">
        <v>74</v>
      </c>
      <c r="AY717" t="s">
        <v>74</v>
      </c>
      <c r="AZ717" t="s">
        <v>74</v>
      </c>
      <c r="BA717" t="s">
        <v>74</v>
      </c>
      <c r="BB717">
        <v>912</v>
      </c>
      <c r="BC717">
        <v>914</v>
      </c>
      <c r="BD717" t="s">
        <v>74</v>
      </c>
      <c r="BE717" t="s">
        <v>11373</v>
      </c>
      <c r="BF717" t="str">
        <f>HYPERLINK("http://dx.doi.org/10.1038/nature05558","http://dx.doi.org/10.1038/nature05558")</f>
        <v>http://dx.doi.org/10.1038/nature05558</v>
      </c>
      <c r="BG717" t="s">
        <v>74</v>
      </c>
      <c r="BH717" t="s">
        <v>74</v>
      </c>
      <c r="BI717">
        <v>3</v>
      </c>
      <c r="BJ717" t="s">
        <v>241</v>
      </c>
      <c r="BK717" t="s">
        <v>98</v>
      </c>
      <c r="BL717" t="s">
        <v>242</v>
      </c>
      <c r="BM717" t="s">
        <v>11374</v>
      </c>
      <c r="BN717">
        <v>17287726</v>
      </c>
      <c r="BO717" t="s">
        <v>74</v>
      </c>
      <c r="BP717" t="s">
        <v>74</v>
      </c>
      <c r="BQ717" t="s">
        <v>74</v>
      </c>
      <c r="BR717" t="s">
        <v>101</v>
      </c>
      <c r="BS717" t="s">
        <v>11375</v>
      </c>
      <c r="BT717" t="str">
        <f>HYPERLINK("https%3A%2F%2Fwww.webofscience.com%2Fwos%2Fwoscc%2Ffull-record%2FWOS:000244341200048","View Full Record in Web of Science")</f>
        <v>View Full Record in Web of Science</v>
      </c>
    </row>
    <row r="718" spans="1:72" x14ac:dyDescent="0.15">
      <c r="A718" t="s">
        <v>72</v>
      </c>
      <c r="B718" t="s">
        <v>11376</v>
      </c>
      <c r="C718" t="s">
        <v>74</v>
      </c>
      <c r="D718" t="s">
        <v>74</v>
      </c>
      <c r="E718" t="s">
        <v>74</v>
      </c>
      <c r="F718" t="s">
        <v>11377</v>
      </c>
      <c r="G718" t="s">
        <v>74</v>
      </c>
      <c r="H718" t="s">
        <v>74</v>
      </c>
      <c r="I718" t="s">
        <v>11378</v>
      </c>
      <c r="J718" t="s">
        <v>11379</v>
      </c>
      <c r="K718" t="s">
        <v>74</v>
      </c>
      <c r="L718" t="s">
        <v>74</v>
      </c>
      <c r="M718" t="s">
        <v>78</v>
      </c>
      <c r="N718" t="s">
        <v>79</v>
      </c>
      <c r="O718" t="s">
        <v>74</v>
      </c>
      <c r="P718" t="s">
        <v>74</v>
      </c>
      <c r="Q718" t="s">
        <v>74</v>
      </c>
      <c r="R718" t="s">
        <v>74</v>
      </c>
      <c r="S718" t="s">
        <v>74</v>
      </c>
      <c r="T718" t="s">
        <v>11380</v>
      </c>
      <c r="U718" t="s">
        <v>11381</v>
      </c>
      <c r="V718" t="s">
        <v>11382</v>
      </c>
      <c r="W718" t="s">
        <v>11383</v>
      </c>
      <c r="X718" t="s">
        <v>11384</v>
      </c>
      <c r="Y718" t="s">
        <v>11385</v>
      </c>
      <c r="Z718" t="s">
        <v>11386</v>
      </c>
      <c r="AA718" t="s">
        <v>11387</v>
      </c>
      <c r="AB718" t="s">
        <v>11388</v>
      </c>
      <c r="AC718" t="s">
        <v>480</v>
      </c>
      <c r="AD718" t="s">
        <v>140</v>
      </c>
      <c r="AE718" t="s">
        <v>74</v>
      </c>
      <c r="AF718" t="s">
        <v>74</v>
      </c>
      <c r="AG718">
        <v>29</v>
      </c>
      <c r="AH718">
        <v>138</v>
      </c>
      <c r="AI718">
        <v>170</v>
      </c>
      <c r="AJ718">
        <v>1</v>
      </c>
      <c r="AK718">
        <v>41</v>
      </c>
      <c r="AL718" t="s">
        <v>4401</v>
      </c>
      <c r="AM718" t="s">
        <v>363</v>
      </c>
      <c r="AN718" t="s">
        <v>387</v>
      </c>
      <c r="AO718" t="s">
        <v>11389</v>
      </c>
      <c r="AP718" t="s">
        <v>74</v>
      </c>
      <c r="AQ718" t="s">
        <v>74</v>
      </c>
      <c r="AR718" t="s">
        <v>11390</v>
      </c>
      <c r="AS718" t="s">
        <v>11391</v>
      </c>
      <c r="AT718" t="s">
        <v>11328</v>
      </c>
      <c r="AU718">
        <v>2007</v>
      </c>
      <c r="AV718">
        <v>274</v>
      </c>
      <c r="AW718">
        <v>1609</v>
      </c>
      <c r="AX718" t="s">
        <v>74</v>
      </c>
      <c r="AY718" t="s">
        <v>74</v>
      </c>
      <c r="AZ718" t="s">
        <v>74</v>
      </c>
      <c r="BA718" t="s">
        <v>74</v>
      </c>
      <c r="BB718">
        <v>471</v>
      </c>
      <c r="BC718">
        <v>477</v>
      </c>
      <c r="BD718" t="s">
        <v>74</v>
      </c>
      <c r="BE718" t="s">
        <v>11392</v>
      </c>
      <c r="BF718" t="str">
        <f>HYPERLINK("http://dx.doi.org/10.1098/rspb.2006.0005","http://dx.doi.org/10.1098/rspb.2006.0005")</f>
        <v>http://dx.doi.org/10.1098/rspb.2006.0005</v>
      </c>
      <c r="BG718" t="s">
        <v>74</v>
      </c>
      <c r="BH718" t="s">
        <v>74</v>
      </c>
      <c r="BI718">
        <v>7</v>
      </c>
      <c r="BJ718" t="s">
        <v>394</v>
      </c>
      <c r="BK718" t="s">
        <v>98</v>
      </c>
      <c r="BL718" t="s">
        <v>395</v>
      </c>
      <c r="BM718" t="s">
        <v>11393</v>
      </c>
      <c r="BN718">
        <v>17476766</v>
      </c>
      <c r="BO718" t="s">
        <v>6411</v>
      </c>
      <c r="BP718" t="s">
        <v>74</v>
      </c>
      <c r="BQ718" t="s">
        <v>74</v>
      </c>
      <c r="BR718" t="s">
        <v>101</v>
      </c>
      <c r="BS718" t="s">
        <v>11394</v>
      </c>
      <c r="BT718" t="str">
        <f>HYPERLINK("https%3A%2F%2Fwww.webofscience.com%2Fwos%2Fwoscc%2Ffull-record%2FWOS:000243354200003","View Full Record in Web of Science")</f>
        <v>View Full Record in Web of Science</v>
      </c>
    </row>
    <row r="719" spans="1:72" x14ac:dyDescent="0.15">
      <c r="A719" t="s">
        <v>72</v>
      </c>
      <c r="B719" t="s">
        <v>11395</v>
      </c>
      <c r="C719" t="s">
        <v>74</v>
      </c>
      <c r="D719" t="s">
        <v>74</v>
      </c>
      <c r="E719" t="s">
        <v>74</v>
      </c>
      <c r="F719" t="s">
        <v>11396</v>
      </c>
      <c r="G719" t="s">
        <v>74</v>
      </c>
      <c r="H719" t="s">
        <v>74</v>
      </c>
      <c r="I719" t="s">
        <v>11397</v>
      </c>
      <c r="J719" t="s">
        <v>11379</v>
      </c>
      <c r="K719" t="s">
        <v>74</v>
      </c>
      <c r="L719" t="s">
        <v>74</v>
      </c>
      <c r="M719" t="s">
        <v>78</v>
      </c>
      <c r="N719" t="s">
        <v>79</v>
      </c>
      <c r="O719" t="s">
        <v>74</v>
      </c>
      <c r="P719" t="s">
        <v>74</v>
      </c>
      <c r="Q719" t="s">
        <v>74</v>
      </c>
      <c r="R719" t="s">
        <v>74</v>
      </c>
      <c r="S719" t="s">
        <v>74</v>
      </c>
      <c r="T719" t="s">
        <v>11398</v>
      </c>
      <c r="U719" t="s">
        <v>11399</v>
      </c>
      <c r="V719" t="s">
        <v>11400</v>
      </c>
      <c r="W719" t="s">
        <v>11401</v>
      </c>
      <c r="X719" t="s">
        <v>11402</v>
      </c>
      <c r="Y719" t="s">
        <v>11403</v>
      </c>
      <c r="Z719" t="s">
        <v>11404</v>
      </c>
      <c r="AA719" t="s">
        <v>11405</v>
      </c>
      <c r="AB719" t="s">
        <v>11406</v>
      </c>
      <c r="AC719" t="s">
        <v>74</v>
      </c>
      <c r="AD719" t="s">
        <v>74</v>
      </c>
      <c r="AE719" t="s">
        <v>74</v>
      </c>
      <c r="AF719" t="s">
        <v>74</v>
      </c>
      <c r="AG719">
        <v>35</v>
      </c>
      <c r="AH719">
        <v>66</v>
      </c>
      <c r="AI719">
        <v>68</v>
      </c>
      <c r="AJ719">
        <v>1</v>
      </c>
      <c r="AK719">
        <v>28</v>
      </c>
      <c r="AL719" t="s">
        <v>386</v>
      </c>
      <c r="AM719" t="s">
        <v>363</v>
      </c>
      <c r="AN719" t="s">
        <v>387</v>
      </c>
      <c r="AO719" t="s">
        <v>11389</v>
      </c>
      <c r="AP719" t="s">
        <v>11407</v>
      </c>
      <c r="AQ719" t="s">
        <v>74</v>
      </c>
      <c r="AR719" t="s">
        <v>11408</v>
      </c>
      <c r="AS719" t="s">
        <v>11391</v>
      </c>
      <c r="AT719" t="s">
        <v>11328</v>
      </c>
      <c r="AU719">
        <v>2007</v>
      </c>
      <c r="AV719">
        <v>274</v>
      </c>
      <c r="AW719">
        <v>1609</v>
      </c>
      <c r="AX719" t="s">
        <v>74</v>
      </c>
      <c r="AY719" t="s">
        <v>74</v>
      </c>
      <c r="AZ719" t="s">
        <v>74</v>
      </c>
      <c r="BA719" t="s">
        <v>74</v>
      </c>
      <c r="BB719">
        <v>527</v>
      </c>
      <c r="BC719">
        <v>533</v>
      </c>
      <c r="BD719" t="s">
        <v>74</v>
      </c>
      <c r="BE719" t="s">
        <v>11409</v>
      </c>
      <c r="BF719" t="str">
        <f>HYPERLINK("http://dx.doi.org/10.1098/rspb.2006.3743","http://dx.doi.org/10.1098/rspb.2006.3743")</f>
        <v>http://dx.doi.org/10.1098/rspb.2006.3743</v>
      </c>
      <c r="BG719" t="s">
        <v>74</v>
      </c>
      <c r="BH719" t="s">
        <v>74</v>
      </c>
      <c r="BI719">
        <v>7</v>
      </c>
      <c r="BJ719" t="s">
        <v>394</v>
      </c>
      <c r="BK719" t="s">
        <v>98</v>
      </c>
      <c r="BL719" t="s">
        <v>395</v>
      </c>
      <c r="BM719" t="s">
        <v>11393</v>
      </c>
      <c r="BN719">
        <v>17476773</v>
      </c>
      <c r="BO719" t="s">
        <v>198</v>
      </c>
      <c r="BP719" t="s">
        <v>74</v>
      </c>
      <c r="BQ719" t="s">
        <v>74</v>
      </c>
      <c r="BR719" t="s">
        <v>101</v>
      </c>
      <c r="BS719" t="s">
        <v>11410</v>
      </c>
      <c r="BT719" t="str">
        <f>HYPERLINK("https%3A%2F%2Fwww.webofscience.com%2Fwos%2Fwoscc%2Ffull-record%2FWOS:000243354200010","View Full Record in Web of Science")</f>
        <v>View Full Record in Web of Science</v>
      </c>
    </row>
    <row r="720" spans="1:72" x14ac:dyDescent="0.15">
      <c r="A720" t="s">
        <v>72</v>
      </c>
      <c r="B720" t="s">
        <v>11411</v>
      </c>
      <c r="C720" t="s">
        <v>74</v>
      </c>
      <c r="D720" t="s">
        <v>74</v>
      </c>
      <c r="E720" t="s">
        <v>74</v>
      </c>
      <c r="F720" t="s">
        <v>11412</v>
      </c>
      <c r="G720" t="s">
        <v>74</v>
      </c>
      <c r="H720" t="s">
        <v>74</v>
      </c>
      <c r="I720" t="s">
        <v>11413</v>
      </c>
      <c r="J720" t="s">
        <v>203</v>
      </c>
      <c r="K720" t="s">
        <v>74</v>
      </c>
      <c r="L720" t="s">
        <v>74</v>
      </c>
      <c r="M720" t="s">
        <v>78</v>
      </c>
      <c r="N720" t="s">
        <v>79</v>
      </c>
      <c r="O720" t="s">
        <v>74</v>
      </c>
      <c r="P720" t="s">
        <v>74</v>
      </c>
      <c r="Q720" t="s">
        <v>74</v>
      </c>
      <c r="R720" t="s">
        <v>74</v>
      </c>
      <c r="S720" t="s">
        <v>74</v>
      </c>
      <c r="T720" t="s">
        <v>74</v>
      </c>
      <c r="U720" t="s">
        <v>11414</v>
      </c>
      <c r="V720" t="s">
        <v>11415</v>
      </c>
      <c r="W720" t="s">
        <v>11416</v>
      </c>
      <c r="X720" t="s">
        <v>11417</v>
      </c>
      <c r="Y720" t="s">
        <v>11418</v>
      </c>
      <c r="Z720" t="s">
        <v>11419</v>
      </c>
      <c r="AA720" t="s">
        <v>11420</v>
      </c>
      <c r="AB720" t="s">
        <v>11421</v>
      </c>
      <c r="AC720" t="s">
        <v>74</v>
      </c>
      <c r="AD720" t="s">
        <v>74</v>
      </c>
      <c r="AE720" t="s">
        <v>74</v>
      </c>
      <c r="AF720" t="s">
        <v>74</v>
      </c>
      <c r="AG720">
        <v>41</v>
      </c>
      <c r="AH720">
        <v>12</v>
      </c>
      <c r="AI720">
        <v>13</v>
      </c>
      <c r="AJ720">
        <v>0</v>
      </c>
      <c r="AK720">
        <v>4</v>
      </c>
      <c r="AL720" t="s">
        <v>141</v>
      </c>
      <c r="AM720" t="s">
        <v>142</v>
      </c>
      <c r="AN720" t="s">
        <v>143</v>
      </c>
      <c r="AO720" t="s">
        <v>213</v>
      </c>
      <c r="AP720" t="s">
        <v>214</v>
      </c>
      <c r="AQ720" t="s">
        <v>74</v>
      </c>
      <c r="AR720" t="s">
        <v>215</v>
      </c>
      <c r="AS720" t="s">
        <v>216</v>
      </c>
      <c r="AT720" t="s">
        <v>11422</v>
      </c>
      <c r="AU720">
        <v>2007</v>
      </c>
      <c r="AV720">
        <v>112</v>
      </c>
      <c r="AW720" t="s">
        <v>11423</v>
      </c>
      <c r="AX720" t="s">
        <v>74</v>
      </c>
      <c r="AY720" t="s">
        <v>74</v>
      </c>
      <c r="AZ720" t="s">
        <v>74</v>
      </c>
      <c r="BA720" t="s">
        <v>74</v>
      </c>
      <c r="BB720" t="s">
        <v>74</v>
      </c>
      <c r="BC720" t="s">
        <v>74</v>
      </c>
      <c r="BD720" t="s">
        <v>11424</v>
      </c>
      <c r="BE720" t="s">
        <v>11425</v>
      </c>
      <c r="BF720" t="str">
        <f>HYPERLINK("http://dx.doi.org/10.1029/2006JC003742","http://dx.doi.org/10.1029/2006JC003742")</f>
        <v>http://dx.doi.org/10.1029/2006JC003742</v>
      </c>
      <c r="BG720" t="s">
        <v>74</v>
      </c>
      <c r="BH720" t="s">
        <v>74</v>
      </c>
      <c r="BI720">
        <v>16</v>
      </c>
      <c r="BJ720" t="s">
        <v>221</v>
      </c>
      <c r="BK720" t="s">
        <v>98</v>
      </c>
      <c r="BL720" t="s">
        <v>221</v>
      </c>
      <c r="BM720" t="s">
        <v>11426</v>
      </c>
      <c r="BN720" t="s">
        <v>74</v>
      </c>
      <c r="BO720" t="s">
        <v>154</v>
      </c>
      <c r="BP720" t="s">
        <v>74</v>
      </c>
      <c r="BQ720" t="s">
        <v>74</v>
      </c>
      <c r="BR720" t="s">
        <v>101</v>
      </c>
      <c r="BS720" t="s">
        <v>11427</v>
      </c>
      <c r="BT720" t="str">
        <f>HYPERLINK("https%3A%2F%2Fwww.webofscience.com%2Fwos%2Fwoscc%2Ffull-record%2FWOS:000244477600003","View Full Record in Web of Science")</f>
        <v>View Full Record in Web of Science</v>
      </c>
    </row>
    <row r="721" spans="1:72" x14ac:dyDescent="0.15">
      <c r="A721" t="s">
        <v>72</v>
      </c>
      <c r="B721" t="s">
        <v>11428</v>
      </c>
      <c r="C721" t="s">
        <v>74</v>
      </c>
      <c r="D721" t="s">
        <v>74</v>
      </c>
      <c r="E721" t="s">
        <v>74</v>
      </c>
      <c r="F721" t="s">
        <v>11429</v>
      </c>
      <c r="G721" t="s">
        <v>74</v>
      </c>
      <c r="H721" t="s">
        <v>74</v>
      </c>
      <c r="I721" t="s">
        <v>11430</v>
      </c>
      <c r="J721" t="s">
        <v>416</v>
      </c>
      <c r="K721" t="s">
        <v>74</v>
      </c>
      <c r="L721" t="s">
        <v>74</v>
      </c>
      <c r="M721" t="s">
        <v>78</v>
      </c>
      <c r="N721" t="s">
        <v>79</v>
      </c>
      <c r="O721" t="s">
        <v>74</v>
      </c>
      <c r="P721" t="s">
        <v>74</v>
      </c>
      <c r="Q721" t="s">
        <v>74</v>
      </c>
      <c r="R721" t="s">
        <v>74</v>
      </c>
      <c r="S721" t="s">
        <v>74</v>
      </c>
      <c r="T721" t="s">
        <v>74</v>
      </c>
      <c r="U721" t="s">
        <v>11431</v>
      </c>
      <c r="V721" t="s">
        <v>11432</v>
      </c>
      <c r="W721" t="s">
        <v>11433</v>
      </c>
      <c r="X721" t="s">
        <v>11434</v>
      </c>
      <c r="Y721" t="s">
        <v>11435</v>
      </c>
      <c r="Z721" t="s">
        <v>11436</v>
      </c>
      <c r="AA721" t="s">
        <v>74</v>
      </c>
      <c r="AB721" t="s">
        <v>74</v>
      </c>
      <c r="AC721" t="s">
        <v>74</v>
      </c>
      <c r="AD721" t="s">
        <v>74</v>
      </c>
      <c r="AE721" t="s">
        <v>74</v>
      </c>
      <c r="AF721" t="s">
        <v>74</v>
      </c>
      <c r="AG721">
        <v>37</v>
      </c>
      <c r="AH721">
        <v>37</v>
      </c>
      <c r="AI721">
        <v>39</v>
      </c>
      <c r="AJ721">
        <v>0</v>
      </c>
      <c r="AK721">
        <v>2</v>
      </c>
      <c r="AL721" t="s">
        <v>141</v>
      </c>
      <c r="AM721" t="s">
        <v>142</v>
      </c>
      <c r="AN721" t="s">
        <v>143</v>
      </c>
      <c r="AO721" t="s">
        <v>427</v>
      </c>
      <c r="AP721" t="s">
        <v>74</v>
      </c>
      <c r="AQ721" t="s">
        <v>74</v>
      </c>
      <c r="AR721" t="s">
        <v>429</v>
      </c>
      <c r="AS721" t="s">
        <v>430</v>
      </c>
      <c r="AT721" t="s">
        <v>11437</v>
      </c>
      <c r="AU721">
        <v>2007</v>
      </c>
      <c r="AV721">
        <v>112</v>
      </c>
      <c r="AW721" t="s">
        <v>11438</v>
      </c>
      <c r="AX721" t="s">
        <v>74</v>
      </c>
      <c r="AY721" t="s">
        <v>74</v>
      </c>
      <c r="AZ721" t="s">
        <v>74</v>
      </c>
      <c r="BA721" t="s">
        <v>74</v>
      </c>
      <c r="BB721" t="s">
        <v>74</v>
      </c>
      <c r="BC721" t="s">
        <v>74</v>
      </c>
      <c r="BD721" t="s">
        <v>11439</v>
      </c>
      <c r="BE721" t="s">
        <v>11440</v>
      </c>
      <c r="BF721" t="str">
        <f>HYPERLINK("http://dx.doi.org/10.1029/2006JD007246","http://dx.doi.org/10.1029/2006JD007246")</f>
        <v>http://dx.doi.org/10.1029/2006JD007246</v>
      </c>
      <c r="BG721" t="s">
        <v>74</v>
      </c>
      <c r="BH721" t="s">
        <v>74</v>
      </c>
      <c r="BI721">
        <v>10</v>
      </c>
      <c r="BJ721" t="s">
        <v>435</v>
      </c>
      <c r="BK721" t="s">
        <v>98</v>
      </c>
      <c r="BL721" t="s">
        <v>435</v>
      </c>
      <c r="BM721" t="s">
        <v>11441</v>
      </c>
      <c r="BN721" t="s">
        <v>74</v>
      </c>
      <c r="BO721" t="s">
        <v>154</v>
      </c>
      <c r="BP721" t="s">
        <v>74</v>
      </c>
      <c r="BQ721" t="s">
        <v>74</v>
      </c>
      <c r="BR721" t="s">
        <v>101</v>
      </c>
      <c r="BS721" t="s">
        <v>11442</v>
      </c>
      <c r="BT721" t="str">
        <f>HYPERLINK("https%3A%2F%2Fwww.webofscience.com%2Fwos%2Fwoscc%2Ffull-record%2FWOS:000244363600001","View Full Record in Web of Science")</f>
        <v>View Full Record in Web of Science</v>
      </c>
    </row>
    <row r="722" spans="1:72" x14ac:dyDescent="0.15">
      <c r="A722" t="s">
        <v>72</v>
      </c>
      <c r="B722" t="s">
        <v>11443</v>
      </c>
      <c r="C722" t="s">
        <v>74</v>
      </c>
      <c r="D722" t="s">
        <v>74</v>
      </c>
      <c r="E722" t="s">
        <v>74</v>
      </c>
      <c r="F722" t="s">
        <v>11444</v>
      </c>
      <c r="G722" t="s">
        <v>74</v>
      </c>
      <c r="H722" t="s">
        <v>74</v>
      </c>
      <c r="I722" t="s">
        <v>11445</v>
      </c>
      <c r="J722" t="s">
        <v>1766</v>
      </c>
      <c r="K722" t="s">
        <v>74</v>
      </c>
      <c r="L722" t="s">
        <v>74</v>
      </c>
      <c r="M722" t="s">
        <v>78</v>
      </c>
      <c r="N722" t="s">
        <v>79</v>
      </c>
      <c r="O722" t="s">
        <v>74</v>
      </c>
      <c r="P722" t="s">
        <v>74</v>
      </c>
      <c r="Q722" t="s">
        <v>74</v>
      </c>
      <c r="R722" t="s">
        <v>74</v>
      </c>
      <c r="S722" t="s">
        <v>74</v>
      </c>
      <c r="T722" t="s">
        <v>74</v>
      </c>
      <c r="U722" t="s">
        <v>11446</v>
      </c>
      <c r="V722" t="s">
        <v>11447</v>
      </c>
      <c r="W722" t="s">
        <v>11448</v>
      </c>
      <c r="X722" t="s">
        <v>11449</v>
      </c>
      <c r="Y722" t="s">
        <v>11450</v>
      </c>
      <c r="Z722" t="s">
        <v>11451</v>
      </c>
      <c r="AA722" t="s">
        <v>11452</v>
      </c>
      <c r="AB722" t="s">
        <v>74</v>
      </c>
      <c r="AC722" t="s">
        <v>74</v>
      </c>
      <c r="AD722" t="s">
        <v>74</v>
      </c>
      <c r="AE722" t="s">
        <v>74</v>
      </c>
      <c r="AF722" t="s">
        <v>74</v>
      </c>
      <c r="AG722">
        <v>56</v>
      </c>
      <c r="AH722">
        <v>12</v>
      </c>
      <c r="AI722">
        <v>13</v>
      </c>
      <c r="AJ722">
        <v>0</v>
      </c>
      <c r="AK722">
        <v>8</v>
      </c>
      <c r="AL722" t="s">
        <v>1503</v>
      </c>
      <c r="AM722" t="s">
        <v>1504</v>
      </c>
      <c r="AN722" t="s">
        <v>1505</v>
      </c>
      <c r="AO722" t="s">
        <v>1775</v>
      </c>
      <c r="AP722" t="s">
        <v>1790</v>
      </c>
      <c r="AQ722" t="s">
        <v>74</v>
      </c>
      <c r="AR722" t="s">
        <v>1776</v>
      </c>
      <c r="AS722" t="s">
        <v>1777</v>
      </c>
      <c r="AT722" t="s">
        <v>11453</v>
      </c>
      <c r="AU722">
        <v>2007</v>
      </c>
      <c r="AV722">
        <v>71</v>
      </c>
      <c r="AW722">
        <v>4</v>
      </c>
      <c r="AX722" t="s">
        <v>74</v>
      </c>
      <c r="AY722" t="s">
        <v>74</v>
      </c>
      <c r="AZ722" t="s">
        <v>74</v>
      </c>
      <c r="BA722" t="s">
        <v>74</v>
      </c>
      <c r="BB722">
        <v>1062</v>
      </c>
      <c r="BC722">
        <v>1073</v>
      </c>
      <c r="BD722" t="s">
        <v>74</v>
      </c>
      <c r="BE722" t="s">
        <v>11454</v>
      </c>
      <c r="BF722" t="str">
        <f>HYPERLINK("http://dx.doi.org/10.1016/j.gca.2006.10.009","http://dx.doi.org/10.1016/j.gca.2006.10.009")</f>
        <v>http://dx.doi.org/10.1016/j.gca.2006.10.009</v>
      </c>
      <c r="BG722" t="s">
        <v>74</v>
      </c>
      <c r="BH722" t="s">
        <v>74</v>
      </c>
      <c r="BI722">
        <v>12</v>
      </c>
      <c r="BJ722" t="s">
        <v>688</v>
      </c>
      <c r="BK722" t="s">
        <v>98</v>
      </c>
      <c r="BL722" t="s">
        <v>688</v>
      </c>
      <c r="BM722" t="s">
        <v>11455</v>
      </c>
      <c r="BN722" t="s">
        <v>74</v>
      </c>
      <c r="BO722" t="s">
        <v>74</v>
      </c>
      <c r="BP722" t="s">
        <v>74</v>
      </c>
      <c r="BQ722" t="s">
        <v>74</v>
      </c>
      <c r="BR722" t="s">
        <v>101</v>
      </c>
      <c r="BS722" t="s">
        <v>11456</v>
      </c>
      <c r="BT722" t="str">
        <f>HYPERLINK("https%3A%2F%2Fwww.webofscience.com%2Fwos%2Fwoscc%2Ffull-record%2FWOS:000244259500017","View Full Record in Web of Science")</f>
        <v>View Full Record in Web of Science</v>
      </c>
    </row>
    <row r="723" spans="1:72" x14ac:dyDescent="0.15">
      <c r="A723" t="s">
        <v>72</v>
      </c>
      <c r="B723" t="s">
        <v>11457</v>
      </c>
      <c r="C723" t="s">
        <v>74</v>
      </c>
      <c r="D723" t="s">
        <v>74</v>
      </c>
      <c r="E723" t="s">
        <v>74</v>
      </c>
      <c r="F723" t="s">
        <v>11458</v>
      </c>
      <c r="G723" t="s">
        <v>74</v>
      </c>
      <c r="H723" t="s">
        <v>74</v>
      </c>
      <c r="I723" t="s">
        <v>11459</v>
      </c>
      <c r="J723" t="s">
        <v>779</v>
      </c>
      <c r="K723" t="s">
        <v>74</v>
      </c>
      <c r="L723" t="s">
        <v>74</v>
      </c>
      <c r="M723" t="s">
        <v>78</v>
      </c>
      <c r="N723" t="s">
        <v>79</v>
      </c>
      <c r="O723" t="s">
        <v>74</v>
      </c>
      <c r="P723" t="s">
        <v>74</v>
      </c>
      <c r="Q723" t="s">
        <v>74</v>
      </c>
      <c r="R723" t="s">
        <v>74</v>
      </c>
      <c r="S723" t="s">
        <v>74</v>
      </c>
      <c r="T723" t="s">
        <v>11460</v>
      </c>
      <c r="U723" t="s">
        <v>11461</v>
      </c>
      <c r="V723" t="s">
        <v>11462</v>
      </c>
      <c r="W723" t="s">
        <v>11463</v>
      </c>
      <c r="X723" t="s">
        <v>9860</v>
      </c>
      <c r="Y723" t="s">
        <v>11464</v>
      </c>
      <c r="Z723" t="s">
        <v>9862</v>
      </c>
      <c r="AA723" t="s">
        <v>9863</v>
      </c>
      <c r="AB723" t="s">
        <v>9864</v>
      </c>
      <c r="AC723" t="s">
        <v>4831</v>
      </c>
      <c r="AD723" t="s">
        <v>361</v>
      </c>
      <c r="AE723" t="s">
        <v>74</v>
      </c>
      <c r="AF723" t="s">
        <v>74</v>
      </c>
      <c r="AG723">
        <v>31</v>
      </c>
      <c r="AH723">
        <v>29</v>
      </c>
      <c r="AI723">
        <v>34</v>
      </c>
      <c r="AJ723">
        <v>0</v>
      </c>
      <c r="AK723">
        <v>11</v>
      </c>
      <c r="AL723" t="s">
        <v>1993</v>
      </c>
      <c r="AM723" t="s">
        <v>788</v>
      </c>
      <c r="AN723" t="s">
        <v>1994</v>
      </c>
      <c r="AO723" t="s">
        <v>790</v>
      </c>
      <c r="AP723" t="s">
        <v>1995</v>
      </c>
      <c r="AQ723" t="s">
        <v>74</v>
      </c>
      <c r="AR723" t="s">
        <v>791</v>
      </c>
      <c r="AS723" t="s">
        <v>792</v>
      </c>
      <c r="AT723" t="s">
        <v>11453</v>
      </c>
      <c r="AU723">
        <v>2007</v>
      </c>
      <c r="AV723">
        <v>210</v>
      </c>
      <c r="AW723">
        <v>4</v>
      </c>
      <c r="AX723" t="s">
        <v>74</v>
      </c>
      <c r="AY723" t="s">
        <v>74</v>
      </c>
      <c r="AZ723" t="s">
        <v>74</v>
      </c>
      <c r="BA723" t="s">
        <v>74</v>
      </c>
      <c r="BB723">
        <v>593</v>
      </c>
      <c r="BC723">
        <v>601</v>
      </c>
      <c r="BD723" t="s">
        <v>74</v>
      </c>
      <c r="BE723" t="s">
        <v>11465</v>
      </c>
      <c r="BF723" t="str">
        <f>HYPERLINK("http://dx.doi.org/10.1242/jeb.02691","http://dx.doi.org/10.1242/jeb.02691")</f>
        <v>http://dx.doi.org/10.1242/jeb.02691</v>
      </c>
      <c r="BG723" t="s">
        <v>74</v>
      </c>
      <c r="BH723" t="s">
        <v>74</v>
      </c>
      <c r="BI723">
        <v>9</v>
      </c>
      <c r="BJ723" t="s">
        <v>794</v>
      </c>
      <c r="BK723" t="s">
        <v>98</v>
      </c>
      <c r="BL723" t="s">
        <v>795</v>
      </c>
      <c r="BM723" t="s">
        <v>11466</v>
      </c>
      <c r="BN723">
        <v>17267645</v>
      </c>
      <c r="BO723" t="s">
        <v>74</v>
      </c>
      <c r="BP723" t="s">
        <v>74</v>
      </c>
      <c r="BQ723" t="s">
        <v>74</v>
      </c>
      <c r="BR723" t="s">
        <v>101</v>
      </c>
      <c r="BS723" t="s">
        <v>11467</v>
      </c>
      <c r="BT723" t="str">
        <f>HYPERLINK("https%3A%2F%2Fwww.webofscience.com%2Fwos%2Fwoscc%2Ffull-record%2FWOS:000244632700010","View Full Record in Web of Science")</f>
        <v>View Full Record in Web of Science</v>
      </c>
    </row>
    <row r="724" spans="1:72" x14ac:dyDescent="0.15">
      <c r="A724" t="s">
        <v>72</v>
      </c>
      <c r="B724" t="s">
        <v>2215</v>
      </c>
      <c r="C724" t="s">
        <v>74</v>
      </c>
      <c r="D724" t="s">
        <v>74</v>
      </c>
      <c r="E724" t="s">
        <v>74</v>
      </c>
      <c r="F724" t="s">
        <v>2215</v>
      </c>
      <c r="G724" t="s">
        <v>74</v>
      </c>
      <c r="H724" t="s">
        <v>74</v>
      </c>
      <c r="I724" t="s">
        <v>11468</v>
      </c>
      <c r="J724" t="s">
        <v>351</v>
      </c>
      <c r="K724" t="s">
        <v>74</v>
      </c>
      <c r="L724" t="s">
        <v>74</v>
      </c>
      <c r="M724" t="s">
        <v>78</v>
      </c>
      <c r="N724" t="s">
        <v>229</v>
      </c>
      <c r="O724" t="s">
        <v>74</v>
      </c>
      <c r="P724" t="s">
        <v>74</v>
      </c>
      <c r="Q724" t="s">
        <v>74</v>
      </c>
      <c r="R724" t="s">
        <v>74</v>
      </c>
      <c r="S724" t="s">
        <v>74</v>
      </c>
      <c r="T724" t="s">
        <v>74</v>
      </c>
      <c r="U724" t="s">
        <v>74</v>
      </c>
      <c r="V724" t="s">
        <v>11469</v>
      </c>
      <c r="W724" t="s">
        <v>74</v>
      </c>
      <c r="X724" t="s">
        <v>74</v>
      </c>
      <c r="Y724" t="s">
        <v>74</v>
      </c>
      <c r="Z724" t="s">
        <v>74</v>
      </c>
      <c r="AA724" t="s">
        <v>74</v>
      </c>
      <c r="AB724" t="s">
        <v>74</v>
      </c>
      <c r="AC724" t="s">
        <v>74</v>
      </c>
      <c r="AD724" t="s">
        <v>74</v>
      </c>
      <c r="AE724" t="s">
        <v>74</v>
      </c>
      <c r="AF724" t="s">
        <v>74</v>
      </c>
      <c r="AG724">
        <v>0</v>
      </c>
      <c r="AH724">
        <v>0</v>
      </c>
      <c r="AI724">
        <v>0</v>
      </c>
      <c r="AJ724">
        <v>2</v>
      </c>
      <c r="AK724">
        <v>3</v>
      </c>
      <c r="AL724" t="s">
        <v>362</v>
      </c>
      <c r="AM724" t="s">
        <v>363</v>
      </c>
      <c r="AN724" t="s">
        <v>364</v>
      </c>
      <c r="AO724" t="s">
        <v>365</v>
      </c>
      <c r="AP724" t="s">
        <v>366</v>
      </c>
      <c r="AQ724" t="s">
        <v>74</v>
      </c>
      <c r="AR724" t="s">
        <v>351</v>
      </c>
      <c r="AS724" t="s">
        <v>367</v>
      </c>
      <c r="AT724" t="s">
        <v>11453</v>
      </c>
      <c r="AU724">
        <v>2007</v>
      </c>
      <c r="AV724">
        <v>445</v>
      </c>
      <c r="AW724">
        <v>7129</v>
      </c>
      <c r="AX724" t="s">
        <v>74</v>
      </c>
      <c r="AY724" t="s">
        <v>74</v>
      </c>
      <c r="AZ724" t="s">
        <v>74</v>
      </c>
      <c r="BA724" t="s">
        <v>74</v>
      </c>
      <c r="BB724">
        <v>704</v>
      </c>
      <c r="BC724">
        <v>705</v>
      </c>
      <c r="BD724" t="s">
        <v>74</v>
      </c>
      <c r="BE724" t="s">
        <v>74</v>
      </c>
      <c r="BF724" t="s">
        <v>74</v>
      </c>
      <c r="BG724" t="s">
        <v>74</v>
      </c>
      <c r="BH724" t="s">
        <v>74</v>
      </c>
      <c r="BI724">
        <v>2</v>
      </c>
      <c r="BJ724" t="s">
        <v>241</v>
      </c>
      <c r="BK724" t="s">
        <v>98</v>
      </c>
      <c r="BL724" t="s">
        <v>242</v>
      </c>
      <c r="BM724" t="s">
        <v>11470</v>
      </c>
      <c r="BN724" t="s">
        <v>74</v>
      </c>
      <c r="BO724" t="s">
        <v>74</v>
      </c>
      <c r="BP724" t="s">
        <v>74</v>
      </c>
      <c r="BQ724" t="s">
        <v>74</v>
      </c>
      <c r="BR724" t="s">
        <v>101</v>
      </c>
      <c r="BS724" t="s">
        <v>11471</v>
      </c>
      <c r="BT724" t="str">
        <f>HYPERLINK("https%3A%2F%2Fwww.webofscience.com%2Fwos%2Fwoscc%2Ffull-record%2FWOS:000244205200016","View Full Record in Web of Science")</f>
        <v>View Full Record in Web of Science</v>
      </c>
    </row>
    <row r="725" spans="1:72" x14ac:dyDescent="0.15">
      <c r="A725" t="s">
        <v>72</v>
      </c>
      <c r="B725" t="s">
        <v>11472</v>
      </c>
      <c r="C725" t="s">
        <v>74</v>
      </c>
      <c r="D725" t="s">
        <v>74</v>
      </c>
      <c r="E725" t="s">
        <v>74</v>
      </c>
      <c r="F725" t="s">
        <v>11473</v>
      </c>
      <c r="G725" t="s">
        <v>74</v>
      </c>
      <c r="H725" t="s">
        <v>74</v>
      </c>
      <c r="I725" t="s">
        <v>11474</v>
      </c>
      <c r="J725" t="s">
        <v>289</v>
      </c>
      <c r="K725" t="s">
        <v>74</v>
      </c>
      <c r="L725" t="s">
        <v>74</v>
      </c>
      <c r="M725" t="s">
        <v>78</v>
      </c>
      <c r="N725" t="s">
        <v>79</v>
      </c>
      <c r="O725" t="s">
        <v>74</v>
      </c>
      <c r="P725" t="s">
        <v>74</v>
      </c>
      <c r="Q725" t="s">
        <v>74</v>
      </c>
      <c r="R725" t="s">
        <v>74</v>
      </c>
      <c r="S725" t="s">
        <v>74</v>
      </c>
      <c r="T725" t="s">
        <v>74</v>
      </c>
      <c r="U725" t="s">
        <v>11475</v>
      </c>
      <c r="V725" t="s">
        <v>11476</v>
      </c>
      <c r="W725" t="s">
        <v>11477</v>
      </c>
      <c r="X725" t="s">
        <v>11478</v>
      </c>
      <c r="Y725" t="s">
        <v>11479</v>
      </c>
      <c r="Z725" t="s">
        <v>11480</v>
      </c>
      <c r="AA725" t="s">
        <v>11481</v>
      </c>
      <c r="AB725" t="s">
        <v>11482</v>
      </c>
      <c r="AC725" t="s">
        <v>11483</v>
      </c>
      <c r="AD725" t="s">
        <v>426</v>
      </c>
      <c r="AE725" t="s">
        <v>74</v>
      </c>
      <c r="AF725" t="s">
        <v>74</v>
      </c>
      <c r="AG725">
        <v>79</v>
      </c>
      <c r="AH725">
        <v>64</v>
      </c>
      <c r="AI725">
        <v>68</v>
      </c>
      <c r="AJ725">
        <v>0</v>
      </c>
      <c r="AK725">
        <v>17</v>
      </c>
      <c r="AL725" t="s">
        <v>141</v>
      </c>
      <c r="AM725" t="s">
        <v>142</v>
      </c>
      <c r="AN725" t="s">
        <v>143</v>
      </c>
      <c r="AO725" t="s">
        <v>296</v>
      </c>
      <c r="AP725" t="s">
        <v>297</v>
      </c>
      <c r="AQ725" t="s">
        <v>74</v>
      </c>
      <c r="AR725" t="s">
        <v>289</v>
      </c>
      <c r="AS725" t="s">
        <v>298</v>
      </c>
      <c r="AT725" t="s">
        <v>11453</v>
      </c>
      <c r="AU725">
        <v>2007</v>
      </c>
      <c r="AV725">
        <v>22</v>
      </c>
      <c r="AW725">
        <v>1</v>
      </c>
      <c r="AX725" t="s">
        <v>74</v>
      </c>
      <c r="AY725" t="s">
        <v>74</v>
      </c>
      <c r="AZ725" t="s">
        <v>74</v>
      </c>
      <c r="BA725" t="s">
        <v>74</v>
      </c>
      <c r="BB725" t="s">
        <v>74</v>
      </c>
      <c r="BC725" t="s">
        <v>74</v>
      </c>
      <c r="BD725" t="s">
        <v>11484</v>
      </c>
      <c r="BE725" t="s">
        <v>11485</v>
      </c>
      <c r="BF725" t="str">
        <f>HYPERLINK("http://dx.doi.org/10.1029/2006PA001298","http://dx.doi.org/10.1029/2006PA001298")</f>
        <v>http://dx.doi.org/10.1029/2006PA001298</v>
      </c>
      <c r="BG725" t="s">
        <v>74</v>
      </c>
      <c r="BH725" t="s">
        <v>74</v>
      </c>
      <c r="BI725">
        <v>14</v>
      </c>
      <c r="BJ725" t="s">
        <v>301</v>
      </c>
      <c r="BK725" t="s">
        <v>98</v>
      </c>
      <c r="BL725" t="s">
        <v>302</v>
      </c>
      <c r="BM725" t="s">
        <v>11486</v>
      </c>
      <c r="BN725" t="s">
        <v>74</v>
      </c>
      <c r="BO725" t="s">
        <v>11487</v>
      </c>
      <c r="BP725" t="s">
        <v>74</v>
      </c>
      <c r="BQ725" t="s">
        <v>74</v>
      </c>
      <c r="BR725" t="s">
        <v>101</v>
      </c>
      <c r="BS725" t="s">
        <v>11488</v>
      </c>
      <c r="BT725" t="str">
        <f>HYPERLINK("https%3A%2F%2Fwww.webofscience.com%2Fwos%2Fwoscc%2Ffull-record%2FWOS:000244376600001","View Full Record in Web of Science")</f>
        <v>View Full Record in Web of Science</v>
      </c>
    </row>
    <row r="726" spans="1:72" x14ac:dyDescent="0.15">
      <c r="A726" t="s">
        <v>72</v>
      </c>
      <c r="B726" t="s">
        <v>11489</v>
      </c>
      <c r="C726" t="s">
        <v>74</v>
      </c>
      <c r="D726" t="s">
        <v>74</v>
      </c>
      <c r="E726" t="s">
        <v>74</v>
      </c>
      <c r="F726" t="s">
        <v>11490</v>
      </c>
      <c r="G726" t="s">
        <v>74</v>
      </c>
      <c r="H726" t="s">
        <v>74</v>
      </c>
      <c r="I726" t="s">
        <v>11491</v>
      </c>
      <c r="J726" t="s">
        <v>11492</v>
      </c>
      <c r="K726" t="s">
        <v>74</v>
      </c>
      <c r="L726" t="s">
        <v>74</v>
      </c>
      <c r="M726" t="s">
        <v>78</v>
      </c>
      <c r="N726" t="s">
        <v>79</v>
      </c>
      <c r="O726" t="s">
        <v>74</v>
      </c>
      <c r="P726" t="s">
        <v>74</v>
      </c>
      <c r="Q726" t="s">
        <v>74</v>
      </c>
      <c r="R726" t="s">
        <v>74</v>
      </c>
      <c r="S726" t="s">
        <v>74</v>
      </c>
      <c r="T726" t="s">
        <v>11493</v>
      </c>
      <c r="U726" t="s">
        <v>11494</v>
      </c>
      <c r="V726" t="s">
        <v>11495</v>
      </c>
      <c r="W726" t="s">
        <v>11496</v>
      </c>
      <c r="X726" t="s">
        <v>11497</v>
      </c>
      <c r="Y726" t="s">
        <v>11498</v>
      </c>
      <c r="Z726" t="s">
        <v>11499</v>
      </c>
      <c r="AA726" t="s">
        <v>74</v>
      </c>
      <c r="AB726" t="s">
        <v>74</v>
      </c>
      <c r="AC726" t="s">
        <v>74</v>
      </c>
      <c r="AD726" t="s">
        <v>74</v>
      </c>
      <c r="AE726" t="s">
        <v>74</v>
      </c>
      <c r="AF726" t="s">
        <v>74</v>
      </c>
      <c r="AG726">
        <v>33</v>
      </c>
      <c r="AH726">
        <v>3</v>
      </c>
      <c r="AI726">
        <v>3</v>
      </c>
      <c r="AJ726">
        <v>0</v>
      </c>
      <c r="AK726">
        <v>14</v>
      </c>
      <c r="AL726" t="s">
        <v>592</v>
      </c>
      <c r="AM726" t="s">
        <v>273</v>
      </c>
      <c r="AN726" t="s">
        <v>593</v>
      </c>
      <c r="AO726" t="s">
        <v>11500</v>
      </c>
      <c r="AP726" t="s">
        <v>74</v>
      </c>
      <c r="AQ726" t="s">
        <v>74</v>
      </c>
      <c r="AR726" t="s">
        <v>11501</v>
      </c>
      <c r="AS726" t="s">
        <v>11502</v>
      </c>
      <c r="AT726" t="s">
        <v>11453</v>
      </c>
      <c r="AU726">
        <v>2007</v>
      </c>
      <c r="AV726">
        <v>375</v>
      </c>
      <c r="AW726">
        <v>1</v>
      </c>
      <c r="AX726" t="s">
        <v>74</v>
      </c>
      <c r="AY726" t="s">
        <v>74</v>
      </c>
      <c r="AZ726" t="s">
        <v>74</v>
      </c>
      <c r="BA726" t="s">
        <v>74</v>
      </c>
      <c r="BB726">
        <v>288</v>
      </c>
      <c r="BC726">
        <v>296</v>
      </c>
      <c r="BD726" t="s">
        <v>74</v>
      </c>
      <c r="BE726" t="s">
        <v>11503</v>
      </c>
      <c r="BF726" t="str">
        <f>HYPERLINK("http://dx.doi.org/10.1016/j.physa.2006.08.045","http://dx.doi.org/10.1016/j.physa.2006.08.045")</f>
        <v>http://dx.doi.org/10.1016/j.physa.2006.08.045</v>
      </c>
      <c r="BG726" t="s">
        <v>74</v>
      </c>
      <c r="BH726" t="s">
        <v>74</v>
      </c>
      <c r="BI726">
        <v>9</v>
      </c>
      <c r="BJ726" t="s">
        <v>4082</v>
      </c>
      <c r="BK726" t="s">
        <v>98</v>
      </c>
      <c r="BL726" t="s">
        <v>4084</v>
      </c>
      <c r="BM726" t="s">
        <v>11504</v>
      </c>
      <c r="BN726" t="s">
        <v>74</v>
      </c>
      <c r="BO726" t="s">
        <v>74</v>
      </c>
      <c r="BP726" t="s">
        <v>74</v>
      </c>
      <c r="BQ726" t="s">
        <v>74</v>
      </c>
      <c r="BR726" t="s">
        <v>101</v>
      </c>
      <c r="BS726" t="s">
        <v>11505</v>
      </c>
      <c r="BT726" t="str">
        <f>HYPERLINK("https%3A%2F%2Fwww.webofscience.com%2Fwos%2Fwoscc%2Ffull-record%2FWOS:000244084500030","View Full Record in Web of Science")</f>
        <v>View Full Record in Web of Science</v>
      </c>
    </row>
    <row r="727" spans="1:72" x14ac:dyDescent="0.15">
      <c r="A727" t="s">
        <v>72</v>
      </c>
      <c r="B727" t="s">
        <v>11506</v>
      </c>
      <c r="C727" t="s">
        <v>74</v>
      </c>
      <c r="D727" t="s">
        <v>74</v>
      </c>
      <c r="E727" t="s">
        <v>74</v>
      </c>
      <c r="F727" t="s">
        <v>11507</v>
      </c>
      <c r="G727" t="s">
        <v>74</v>
      </c>
      <c r="H727" t="s">
        <v>74</v>
      </c>
      <c r="I727" t="s">
        <v>11508</v>
      </c>
      <c r="J727" t="s">
        <v>11509</v>
      </c>
      <c r="K727" t="s">
        <v>74</v>
      </c>
      <c r="L727" t="s">
        <v>74</v>
      </c>
      <c r="M727" t="s">
        <v>78</v>
      </c>
      <c r="N727" t="s">
        <v>79</v>
      </c>
      <c r="O727" t="s">
        <v>74</v>
      </c>
      <c r="P727" t="s">
        <v>74</v>
      </c>
      <c r="Q727" t="s">
        <v>74</v>
      </c>
      <c r="R727" t="s">
        <v>74</v>
      </c>
      <c r="S727" t="s">
        <v>74</v>
      </c>
      <c r="T727" t="s">
        <v>11510</v>
      </c>
      <c r="U727" t="s">
        <v>11511</v>
      </c>
      <c r="V727" t="s">
        <v>11512</v>
      </c>
      <c r="W727" t="s">
        <v>11513</v>
      </c>
      <c r="X727" t="s">
        <v>11514</v>
      </c>
      <c r="Y727" t="s">
        <v>11515</v>
      </c>
      <c r="Z727" t="s">
        <v>11516</v>
      </c>
      <c r="AA727" t="s">
        <v>11517</v>
      </c>
      <c r="AB727" t="s">
        <v>11518</v>
      </c>
      <c r="AC727" t="s">
        <v>74</v>
      </c>
      <c r="AD727" t="s">
        <v>74</v>
      </c>
      <c r="AE727" t="s">
        <v>74</v>
      </c>
      <c r="AF727" t="s">
        <v>74</v>
      </c>
      <c r="AG727">
        <v>30</v>
      </c>
      <c r="AH727">
        <v>21</v>
      </c>
      <c r="AI727">
        <v>26</v>
      </c>
      <c r="AJ727">
        <v>1</v>
      </c>
      <c r="AK727">
        <v>14</v>
      </c>
      <c r="AL727" t="s">
        <v>11519</v>
      </c>
      <c r="AM727" t="s">
        <v>11520</v>
      </c>
      <c r="AN727" t="s">
        <v>11521</v>
      </c>
      <c r="AO727" t="s">
        <v>11522</v>
      </c>
      <c r="AP727" t="s">
        <v>11523</v>
      </c>
      <c r="AQ727" t="s">
        <v>74</v>
      </c>
      <c r="AR727" t="s">
        <v>11524</v>
      </c>
      <c r="AS727" t="s">
        <v>11525</v>
      </c>
      <c r="AT727" t="s">
        <v>11526</v>
      </c>
      <c r="AU727">
        <v>2007</v>
      </c>
      <c r="AV727">
        <v>413</v>
      </c>
      <c r="AW727">
        <v>2</v>
      </c>
      <c r="AX727" t="s">
        <v>74</v>
      </c>
      <c r="AY727" t="s">
        <v>74</v>
      </c>
      <c r="AZ727" t="s">
        <v>74</v>
      </c>
      <c r="BA727" t="s">
        <v>74</v>
      </c>
      <c r="BB727">
        <v>173</v>
      </c>
      <c r="BC727">
        <v>176</v>
      </c>
      <c r="BD727" t="s">
        <v>74</v>
      </c>
      <c r="BE727" t="s">
        <v>11527</v>
      </c>
      <c r="BF727" t="str">
        <f>HYPERLINK("http://dx.doi.org/10.1016/j.neulet.2006.11.051","http://dx.doi.org/10.1016/j.neulet.2006.11.051")</f>
        <v>http://dx.doi.org/10.1016/j.neulet.2006.11.051</v>
      </c>
      <c r="BG727" t="s">
        <v>74</v>
      </c>
      <c r="BH727" t="s">
        <v>74</v>
      </c>
      <c r="BI727">
        <v>4</v>
      </c>
      <c r="BJ727" t="s">
        <v>11528</v>
      </c>
      <c r="BK727" t="s">
        <v>98</v>
      </c>
      <c r="BL727" t="s">
        <v>11529</v>
      </c>
      <c r="BM727" t="s">
        <v>11530</v>
      </c>
      <c r="BN727">
        <v>17174032</v>
      </c>
      <c r="BO727" t="s">
        <v>74</v>
      </c>
      <c r="BP727" t="s">
        <v>74</v>
      </c>
      <c r="BQ727" t="s">
        <v>74</v>
      </c>
      <c r="BR727" t="s">
        <v>101</v>
      </c>
      <c r="BS727" t="s">
        <v>11531</v>
      </c>
      <c r="BT727" t="str">
        <f>HYPERLINK("https%3A%2F%2Fwww.webofscience.com%2Fwos%2Fwoscc%2Ffull-record%2FWOS:000244595300017","View Full Record in Web of Science")</f>
        <v>View Full Record in Web of Science</v>
      </c>
    </row>
    <row r="728" spans="1:72" x14ac:dyDescent="0.15">
      <c r="A728" t="s">
        <v>72</v>
      </c>
      <c r="B728" t="s">
        <v>11532</v>
      </c>
      <c r="C728" t="s">
        <v>74</v>
      </c>
      <c r="D728" t="s">
        <v>74</v>
      </c>
      <c r="E728" t="s">
        <v>74</v>
      </c>
      <c r="F728" t="s">
        <v>11533</v>
      </c>
      <c r="G728" t="s">
        <v>74</v>
      </c>
      <c r="H728" t="s">
        <v>74</v>
      </c>
      <c r="I728" t="s">
        <v>11534</v>
      </c>
      <c r="J728" t="s">
        <v>228</v>
      </c>
      <c r="K728" t="s">
        <v>74</v>
      </c>
      <c r="L728" t="s">
        <v>74</v>
      </c>
      <c r="M728" t="s">
        <v>78</v>
      </c>
      <c r="N728" t="s">
        <v>79</v>
      </c>
      <c r="O728" t="s">
        <v>74</v>
      </c>
      <c r="P728" t="s">
        <v>74</v>
      </c>
      <c r="Q728" t="s">
        <v>74</v>
      </c>
      <c r="R728" t="s">
        <v>74</v>
      </c>
      <c r="S728" t="s">
        <v>74</v>
      </c>
      <c r="T728" t="s">
        <v>11535</v>
      </c>
      <c r="U728" t="s">
        <v>11536</v>
      </c>
      <c r="V728" t="s">
        <v>11537</v>
      </c>
      <c r="W728" t="s">
        <v>11538</v>
      </c>
      <c r="X728" t="s">
        <v>4683</v>
      </c>
      <c r="Y728" t="s">
        <v>11539</v>
      </c>
      <c r="Z728" t="s">
        <v>11540</v>
      </c>
      <c r="AA728" t="s">
        <v>74</v>
      </c>
      <c r="AB728" t="s">
        <v>74</v>
      </c>
      <c r="AC728" t="s">
        <v>74</v>
      </c>
      <c r="AD728" t="s">
        <v>74</v>
      </c>
      <c r="AE728" t="s">
        <v>74</v>
      </c>
      <c r="AF728" t="s">
        <v>74</v>
      </c>
      <c r="AG728">
        <v>9</v>
      </c>
      <c r="AH728">
        <v>0</v>
      </c>
      <c r="AI728">
        <v>1</v>
      </c>
      <c r="AJ728">
        <v>0</v>
      </c>
      <c r="AK728">
        <v>3</v>
      </c>
      <c r="AL728" t="s">
        <v>11541</v>
      </c>
      <c r="AM728" t="s">
        <v>235</v>
      </c>
      <c r="AN728" t="s">
        <v>236</v>
      </c>
      <c r="AO728" t="s">
        <v>237</v>
      </c>
      <c r="AP728" t="s">
        <v>74</v>
      </c>
      <c r="AQ728" t="s">
        <v>74</v>
      </c>
      <c r="AR728" t="s">
        <v>238</v>
      </c>
      <c r="AS728" t="s">
        <v>239</v>
      </c>
      <c r="AT728" t="s">
        <v>11542</v>
      </c>
      <c r="AU728">
        <v>2007</v>
      </c>
      <c r="AV728">
        <v>92</v>
      </c>
      <c r="AW728">
        <v>3</v>
      </c>
      <c r="AX728" t="s">
        <v>74</v>
      </c>
      <c r="AY728" t="s">
        <v>74</v>
      </c>
      <c r="AZ728" t="s">
        <v>74</v>
      </c>
      <c r="BA728" t="s">
        <v>74</v>
      </c>
      <c r="BB728">
        <v>345</v>
      </c>
      <c r="BC728">
        <v>350</v>
      </c>
      <c r="BD728" t="s">
        <v>74</v>
      </c>
      <c r="BE728" t="s">
        <v>74</v>
      </c>
      <c r="BF728" t="s">
        <v>74</v>
      </c>
      <c r="BG728" t="s">
        <v>74</v>
      </c>
      <c r="BH728" t="s">
        <v>74</v>
      </c>
      <c r="BI728">
        <v>6</v>
      </c>
      <c r="BJ728" t="s">
        <v>241</v>
      </c>
      <c r="BK728" t="s">
        <v>98</v>
      </c>
      <c r="BL728" t="s">
        <v>242</v>
      </c>
      <c r="BM728" t="s">
        <v>11543</v>
      </c>
      <c r="BN728" t="s">
        <v>74</v>
      </c>
      <c r="BO728" t="s">
        <v>74</v>
      </c>
      <c r="BP728" t="s">
        <v>74</v>
      </c>
      <c r="BQ728" t="s">
        <v>74</v>
      </c>
      <c r="BR728" t="s">
        <v>101</v>
      </c>
      <c r="BS728" t="s">
        <v>11544</v>
      </c>
      <c r="BT728" t="str">
        <f>HYPERLINK("https%3A%2F%2Fwww.webofscience.com%2Fwos%2Fwoscc%2Ffull-record%2FWOS:000244429400021","View Full Record in Web of Science")</f>
        <v>View Full Record in Web of Science</v>
      </c>
    </row>
    <row r="729" spans="1:72" x14ac:dyDescent="0.15">
      <c r="A729" t="s">
        <v>72</v>
      </c>
      <c r="B729" t="s">
        <v>11545</v>
      </c>
      <c r="C729" t="s">
        <v>74</v>
      </c>
      <c r="D729" t="s">
        <v>74</v>
      </c>
      <c r="E729" t="s">
        <v>74</v>
      </c>
      <c r="F729" t="s">
        <v>11546</v>
      </c>
      <c r="G729" t="s">
        <v>74</v>
      </c>
      <c r="H729" t="s">
        <v>74</v>
      </c>
      <c r="I729" t="s">
        <v>11547</v>
      </c>
      <c r="J729" t="s">
        <v>182</v>
      </c>
      <c r="K729" t="s">
        <v>74</v>
      </c>
      <c r="L729" t="s">
        <v>74</v>
      </c>
      <c r="M729" t="s">
        <v>78</v>
      </c>
      <c r="N729" t="s">
        <v>79</v>
      </c>
      <c r="O729" t="s">
        <v>74</v>
      </c>
      <c r="P729" t="s">
        <v>74</v>
      </c>
      <c r="Q729" t="s">
        <v>74</v>
      </c>
      <c r="R729" t="s">
        <v>74</v>
      </c>
      <c r="S729" t="s">
        <v>74</v>
      </c>
      <c r="T729" t="s">
        <v>74</v>
      </c>
      <c r="U729" t="s">
        <v>11548</v>
      </c>
      <c r="V729" t="s">
        <v>11549</v>
      </c>
      <c r="W729" t="s">
        <v>11550</v>
      </c>
      <c r="X729" t="s">
        <v>11551</v>
      </c>
      <c r="Y729" t="s">
        <v>11552</v>
      </c>
      <c r="Z729" t="s">
        <v>11553</v>
      </c>
      <c r="AA729" t="s">
        <v>11554</v>
      </c>
      <c r="AB729" t="s">
        <v>11555</v>
      </c>
      <c r="AC729" t="s">
        <v>74</v>
      </c>
      <c r="AD729" t="s">
        <v>74</v>
      </c>
      <c r="AE729" t="s">
        <v>74</v>
      </c>
      <c r="AF729" t="s">
        <v>74</v>
      </c>
      <c r="AG729">
        <v>75</v>
      </c>
      <c r="AH729">
        <v>116</v>
      </c>
      <c r="AI729">
        <v>123</v>
      </c>
      <c r="AJ729">
        <v>0</v>
      </c>
      <c r="AK729">
        <v>35</v>
      </c>
      <c r="AL729" t="s">
        <v>141</v>
      </c>
      <c r="AM729" t="s">
        <v>142</v>
      </c>
      <c r="AN729" t="s">
        <v>143</v>
      </c>
      <c r="AO729" t="s">
        <v>189</v>
      </c>
      <c r="AP729" t="s">
        <v>549</v>
      </c>
      <c r="AQ729" t="s">
        <v>74</v>
      </c>
      <c r="AR729" t="s">
        <v>190</v>
      </c>
      <c r="AS729" t="s">
        <v>191</v>
      </c>
      <c r="AT729" t="s">
        <v>11542</v>
      </c>
      <c r="AU729">
        <v>2007</v>
      </c>
      <c r="AV729">
        <v>21</v>
      </c>
      <c r="AW729">
        <v>1</v>
      </c>
      <c r="AX729" t="s">
        <v>74</v>
      </c>
      <c r="AY729" t="s">
        <v>74</v>
      </c>
      <c r="AZ729" t="s">
        <v>74</v>
      </c>
      <c r="BA729" t="s">
        <v>74</v>
      </c>
      <c r="BB729" t="s">
        <v>74</v>
      </c>
      <c r="BC729" t="s">
        <v>74</v>
      </c>
      <c r="BD729" t="s">
        <v>11556</v>
      </c>
      <c r="BE729" t="s">
        <v>11557</v>
      </c>
      <c r="BF729" t="str">
        <f>HYPERLINK("http://dx.doi.org/10.1029/2006GB002751","http://dx.doi.org/10.1029/2006GB002751")</f>
        <v>http://dx.doi.org/10.1029/2006GB002751</v>
      </c>
      <c r="BG729" t="s">
        <v>74</v>
      </c>
      <c r="BH729" t="s">
        <v>74</v>
      </c>
      <c r="BI729">
        <v>19</v>
      </c>
      <c r="BJ729" t="s">
        <v>195</v>
      </c>
      <c r="BK729" t="s">
        <v>98</v>
      </c>
      <c r="BL729" t="s">
        <v>196</v>
      </c>
      <c r="BM729" t="s">
        <v>11558</v>
      </c>
      <c r="BN729" t="s">
        <v>74</v>
      </c>
      <c r="BO729" t="s">
        <v>304</v>
      </c>
      <c r="BP729" t="s">
        <v>74</v>
      </c>
      <c r="BQ729" t="s">
        <v>74</v>
      </c>
      <c r="BR729" t="s">
        <v>101</v>
      </c>
      <c r="BS729" t="s">
        <v>11559</v>
      </c>
      <c r="BT729" t="str">
        <f>HYPERLINK("https%3A%2F%2Fwww.webofscience.com%2Fwos%2Fwoscc%2Ffull-record%2FWOS:000244202600001","View Full Record in Web of Science")</f>
        <v>View Full Record in Web of Science</v>
      </c>
    </row>
    <row r="730" spans="1:72" x14ac:dyDescent="0.15">
      <c r="A730" t="s">
        <v>72</v>
      </c>
      <c r="B730" t="s">
        <v>11560</v>
      </c>
      <c r="C730" t="s">
        <v>74</v>
      </c>
      <c r="D730" t="s">
        <v>74</v>
      </c>
      <c r="E730" t="s">
        <v>74</v>
      </c>
      <c r="F730" t="s">
        <v>11561</v>
      </c>
      <c r="G730" t="s">
        <v>74</v>
      </c>
      <c r="H730" t="s">
        <v>74</v>
      </c>
      <c r="I730" t="s">
        <v>11562</v>
      </c>
      <c r="J730" t="s">
        <v>582</v>
      </c>
      <c r="K730" t="s">
        <v>74</v>
      </c>
      <c r="L730" t="s">
        <v>74</v>
      </c>
      <c r="M730" t="s">
        <v>78</v>
      </c>
      <c r="N730" t="s">
        <v>79</v>
      </c>
      <c r="O730" t="s">
        <v>74</v>
      </c>
      <c r="P730" t="s">
        <v>74</v>
      </c>
      <c r="Q730" t="s">
        <v>74</v>
      </c>
      <c r="R730" t="s">
        <v>74</v>
      </c>
      <c r="S730" t="s">
        <v>74</v>
      </c>
      <c r="T730" t="s">
        <v>11563</v>
      </c>
      <c r="U730" t="s">
        <v>11564</v>
      </c>
      <c r="V730" t="s">
        <v>11565</v>
      </c>
      <c r="W730" t="s">
        <v>11566</v>
      </c>
      <c r="X730" t="s">
        <v>11567</v>
      </c>
      <c r="Y730" t="s">
        <v>11568</v>
      </c>
      <c r="Z730" t="s">
        <v>11569</v>
      </c>
      <c r="AA730" t="s">
        <v>74</v>
      </c>
      <c r="AB730" t="s">
        <v>74</v>
      </c>
      <c r="AC730" t="s">
        <v>74</v>
      </c>
      <c r="AD730" t="s">
        <v>74</v>
      </c>
      <c r="AE730" t="s">
        <v>74</v>
      </c>
      <c r="AF730" t="s">
        <v>74</v>
      </c>
      <c r="AG730">
        <v>38</v>
      </c>
      <c r="AH730">
        <v>9</v>
      </c>
      <c r="AI730">
        <v>9</v>
      </c>
      <c r="AJ730">
        <v>1</v>
      </c>
      <c r="AK730">
        <v>15</v>
      </c>
      <c r="AL730" t="s">
        <v>272</v>
      </c>
      <c r="AM730" t="s">
        <v>273</v>
      </c>
      <c r="AN730" t="s">
        <v>274</v>
      </c>
      <c r="AO730" t="s">
        <v>594</v>
      </c>
      <c r="AP730" t="s">
        <v>614</v>
      </c>
      <c r="AQ730" t="s">
        <v>74</v>
      </c>
      <c r="AR730" t="s">
        <v>595</v>
      </c>
      <c r="AS730" t="s">
        <v>596</v>
      </c>
      <c r="AT730" t="s">
        <v>11570</v>
      </c>
      <c r="AU730">
        <v>2007</v>
      </c>
      <c r="AV730">
        <v>237</v>
      </c>
      <c r="AW730" t="s">
        <v>280</v>
      </c>
      <c r="AX730" t="s">
        <v>74</v>
      </c>
      <c r="AY730" t="s">
        <v>74</v>
      </c>
      <c r="AZ730" t="s">
        <v>74</v>
      </c>
      <c r="BA730" t="s">
        <v>74</v>
      </c>
      <c r="BB730">
        <v>97</v>
      </c>
      <c r="BC730">
        <v>108</v>
      </c>
      <c r="BD730" t="s">
        <v>74</v>
      </c>
      <c r="BE730" t="s">
        <v>11571</v>
      </c>
      <c r="BF730" t="str">
        <f>HYPERLINK("http://dx.doi.org/10.1016/j.margeo.2006.10.040","http://dx.doi.org/10.1016/j.margeo.2006.10.040")</f>
        <v>http://dx.doi.org/10.1016/j.margeo.2006.10.040</v>
      </c>
      <c r="BG730" t="s">
        <v>74</v>
      </c>
      <c r="BH730" t="s">
        <v>74</v>
      </c>
      <c r="BI730">
        <v>12</v>
      </c>
      <c r="BJ730" t="s">
        <v>598</v>
      </c>
      <c r="BK730" t="s">
        <v>98</v>
      </c>
      <c r="BL730" t="s">
        <v>599</v>
      </c>
      <c r="BM730" t="s">
        <v>11572</v>
      </c>
      <c r="BN730" t="s">
        <v>74</v>
      </c>
      <c r="BO730" t="s">
        <v>74</v>
      </c>
      <c r="BP730" t="s">
        <v>74</v>
      </c>
      <c r="BQ730" t="s">
        <v>74</v>
      </c>
      <c r="BR730" t="s">
        <v>101</v>
      </c>
      <c r="BS730" t="s">
        <v>11573</v>
      </c>
      <c r="BT730" t="str">
        <f>HYPERLINK("https%3A%2F%2Fwww.webofscience.com%2Fwos%2Fwoscc%2Ffull-record%2FWOS:000244459500006","View Full Record in Web of Science")</f>
        <v>View Full Record in Web of Science</v>
      </c>
    </row>
    <row r="731" spans="1:72" x14ac:dyDescent="0.15">
      <c r="A731" t="s">
        <v>72</v>
      </c>
      <c r="B731" t="s">
        <v>11574</v>
      </c>
      <c r="C731" t="s">
        <v>74</v>
      </c>
      <c r="D731" t="s">
        <v>74</v>
      </c>
      <c r="E731" t="s">
        <v>74</v>
      </c>
      <c r="F731" t="s">
        <v>11575</v>
      </c>
      <c r="G731" t="s">
        <v>74</v>
      </c>
      <c r="H731" t="s">
        <v>74</v>
      </c>
      <c r="I731" t="s">
        <v>11576</v>
      </c>
      <c r="J731" t="s">
        <v>351</v>
      </c>
      <c r="K731" t="s">
        <v>74</v>
      </c>
      <c r="L731" t="s">
        <v>74</v>
      </c>
      <c r="M731" t="s">
        <v>78</v>
      </c>
      <c r="N731" t="s">
        <v>620</v>
      </c>
      <c r="O731" t="s">
        <v>74</v>
      </c>
      <c r="P731" t="s">
        <v>74</v>
      </c>
      <c r="Q731" t="s">
        <v>74</v>
      </c>
      <c r="R731" t="s">
        <v>74</v>
      </c>
      <c r="S731" t="s">
        <v>74</v>
      </c>
      <c r="T731" t="s">
        <v>74</v>
      </c>
      <c r="U731" t="s">
        <v>11577</v>
      </c>
      <c r="V731" t="s">
        <v>74</v>
      </c>
      <c r="W731" t="s">
        <v>11578</v>
      </c>
      <c r="X731" t="s">
        <v>11449</v>
      </c>
      <c r="Y731" t="s">
        <v>11579</v>
      </c>
      <c r="Z731" t="s">
        <v>11580</v>
      </c>
      <c r="AA731" t="s">
        <v>11581</v>
      </c>
      <c r="AB731" t="s">
        <v>11582</v>
      </c>
      <c r="AC731" t="s">
        <v>74</v>
      </c>
      <c r="AD731" t="s">
        <v>74</v>
      </c>
      <c r="AE731" t="s">
        <v>74</v>
      </c>
      <c r="AF731" t="s">
        <v>74</v>
      </c>
      <c r="AG731">
        <v>12</v>
      </c>
      <c r="AH731">
        <v>22</v>
      </c>
      <c r="AI731">
        <v>24</v>
      </c>
      <c r="AJ731">
        <v>3</v>
      </c>
      <c r="AK731">
        <v>15</v>
      </c>
      <c r="AL731" t="s">
        <v>362</v>
      </c>
      <c r="AM731" t="s">
        <v>363</v>
      </c>
      <c r="AN731" t="s">
        <v>364</v>
      </c>
      <c r="AO731" t="s">
        <v>365</v>
      </c>
      <c r="AP731" t="s">
        <v>74</v>
      </c>
      <c r="AQ731" t="s">
        <v>74</v>
      </c>
      <c r="AR731" t="s">
        <v>351</v>
      </c>
      <c r="AS731" t="s">
        <v>367</v>
      </c>
      <c r="AT731" t="s">
        <v>11583</v>
      </c>
      <c r="AU731">
        <v>2007</v>
      </c>
      <c r="AV731">
        <v>445</v>
      </c>
      <c r="AW731">
        <v>7128</v>
      </c>
      <c r="AX731" t="s">
        <v>74</v>
      </c>
      <c r="AY731" t="s">
        <v>74</v>
      </c>
      <c r="AZ731" t="s">
        <v>74</v>
      </c>
      <c r="BA731" t="s">
        <v>74</v>
      </c>
      <c r="BB731">
        <v>607</v>
      </c>
      <c r="BC731">
        <v>608</v>
      </c>
      <c r="BD731" t="s">
        <v>74</v>
      </c>
      <c r="BE731" t="s">
        <v>11584</v>
      </c>
      <c r="BF731" t="str">
        <f>HYPERLINK("http://dx.doi.org/10.1038/445607a","http://dx.doi.org/10.1038/445607a")</f>
        <v>http://dx.doi.org/10.1038/445607a</v>
      </c>
      <c r="BG731" t="s">
        <v>74</v>
      </c>
      <c r="BH731" t="s">
        <v>74</v>
      </c>
      <c r="BI731">
        <v>2</v>
      </c>
      <c r="BJ731" t="s">
        <v>241</v>
      </c>
      <c r="BK731" t="s">
        <v>1576</v>
      </c>
      <c r="BL731" t="s">
        <v>242</v>
      </c>
      <c r="BM731" t="s">
        <v>11585</v>
      </c>
      <c r="BN731">
        <v>17287802</v>
      </c>
      <c r="BO731" t="s">
        <v>154</v>
      </c>
      <c r="BP731" t="s">
        <v>74</v>
      </c>
      <c r="BQ731" t="s">
        <v>74</v>
      </c>
      <c r="BR731" t="s">
        <v>101</v>
      </c>
      <c r="BS731" t="s">
        <v>11586</v>
      </c>
      <c r="BT731" t="str">
        <f>HYPERLINK("https%3A%2F%2Fwww.webofscience.com%2Fwos%2Fwoscc%2Ffull-record%2FWOS:000244039400031","View Full Record in Web of Science")</f>
        <v>View Full Record in Web of Science</v>
      </c>
    </row>
    <row r="732" spans="1:72" x14ac:dyDescent="0.15">
      <c r="A732" t="s">
        <v>72</v>
      </c>
      <c r="B732" t="s">
        <v>11587</v>
      </c>
      <c r="C732" t="s">
        <v>74</v>
      </c>
      <c r="D732" t="s">
        <v>74</v>
      </c>
      <c r="E732" t="s">
        <v>74</v>
      </c>
      <c r="F732" t="s">
        <v>11588</v>
      </c>
      <c r="G732" t="s">
        <v>74</v>
      </c>
      <c r="H732" t="s">
        <v>74</v>
      </c>
      <c r="I732" t="s">
        <v>11589</v>
      </c>
      <c r="J732" t="s">
        <v>351</v>
      </c>
      <c r="K732" t="s">
        <v>74</v>
      </c>
      <c r="L732" t="s">
        <v>74</v>
      </c>
      <c r="M732" t="s">
        <v>78</v>
      </c>
      <c r="N732" t="s">
        <v>79</v>
      </c>
      <c r="O732" t="s">
        <v>74</v>
      </c>
      <c r="P732" t="s">
        <v>74</v>
      </c>
      <c r="Q732" t="s">
        <v>74</v>
      </c>
      <c r="R732" t="s">
        <v>74</v>
      </c>
      <c r="S732" t="s">
        <v>74</v>
      </c>
      <c r="T732" t="s">
        <v>74</v>
      </c>
      <c r="U732" t="s">
        <v>11590</v>
      </c>
      <c r="V732" t="s">
        <v>11591</v>
      </c>
      <c r="W732" t="s">
        <v>11592</v>
      </c>
      <c r="X732" t="s">
        <v>11593</v>
      </c>
      <c r="Y732" t="s">
        <v>11594</v>
      </c>
      <c r="Z732" t="s">
        <v>11595</v>
      </c>
      <c r="AA732" t="s">
        <v>11596</v>
      </c>
      <c r="AB732" t="s">
        <v>11597</v>
      </c>
      <c r="AC732" t="s">
        <v>74</v>
      </c>
      <c r="AD732" t="s">
        <v>74</v>
      </c>
      <c r="AE732" t="s">
        <v>74</v>
      </c>
      <c r="AF732" t="s">
        <v>74</v>
      </c>
      <c r="AG732">
        <v>30</v>
      </c>
      <c r="AH732">
        <v>487</v>
      </c>
      <c r="AI732">
        <v>581</v>
      </c>
      <c r="AJ732">
        <v>19</v>
      </c>
      <c r="AK732">
        <v>283</v>
      </c>
      <c r="AL732" t="s">
        <v>362</v>
      </c>
      <c r="AM732" t="s">
        <v>363</v>
      </c>
      <c r="AN732" t="s">
        <v>364</v>
      </c>
      <c r="AO732" t="s">
        <v>365</v>
      </c>
      <c r="AP732" t="s">
        <v>366</v>
      </c>
      <c r="AQ732" t="s">
        <v>74</v>
      </c>
      <c r="AR732" t="s">
        <v>351</v>
      </c>
      <c r="AS732" t="s">
        <v>367</v>
      </c>
      <c r="AT732" t="s">
        <v>11583</v>
      </c>
      <c r="AU732">
        <v>2007</v>
      </c>
      <c r="AV732">
        <v>445</v>
      </c>
      <c r="AW732">
        <v>7128</v>
      </c>
      <c r="AX732" t="s">
        <v>74</v>
      </c>
      <c r="AY732" t="s">
        <v>74</v>
      </c>
      <c r="AZ732" t="s">
        <v>74</v>
      </c>
      <c r="BA732" t="s">
        <v>74</v>
      </c>
      <c r="BB732">
        <v>635</v>
      </c>
      <c r="BC732">
        <v>638</v>
      </c>
      <c r="BD732" t="s">
        <v>74</v>
      </c>
      <c r="BE732" t="s">
        <v>11598</v>
      </c>
      <c r="BF732" t="str">
        <f>HYPERLINK("http://dx.doi.org/10.1038/nature05516","http://dx.doi.org/10.1038/nature05516")</f>
        <v>http://dx.doi.org/10.1038/nature05516</v>
      </c>
      <c r="BG732" t="s">
        <v>74</v>
      </c>
      <c r="BH732" t="s">
        <v>74</v>
      </c>
      <c r="BI732">
        <v>4</v>
      </c>
      <c r="BJ732" t="s">
        <v>241</v>
      </c>
      <c r="BK732" t="s">
        <v>98</v>
      </c>
      <c r="BL732" t="s">
        <v>242</v>
      </c>
      <c r="BM732" t="s">
        <v>11585</v>
      </c>
      <c r="BN732">
        <v>17287807</v>
      </c>
      <c r="BO732" t="s">
        <v>74</v>
      </c>
      <c r="BP732" t="s">
        <v>74</v>
      </c>
      <c r="BQ732" t="s">
        <v>74</v>
      </c>
      <c r="BR732" t="s">
        <v>101</v>
      </c>
      <c r="BS732" t="s">
        <v>11599</v>
      </c>
      <c r="BT732" t="str">
        <f>HYPERLINK("https%3A%2F%2Fwww.webofscience.com%2Fwos%2Fwoscc%2Ffull-record%2FWOS:000244039400041","View Full Record in Web of Science")</f>
        <v>View Full Record in Web of Science</v>
      </c>
    </row>
    <row r="733" spans="1:72" x14ac:dyDescent="0.15">
      <c r="A733" t="s">
        <v>72</v>
      </c>
      <c r="B733" t="s">
        <v>11600</v>
      </c>
      <c r="C733" t="s">
        <v>74</v>
      </c>
      <c r="D733" t="s">
        <v>74</v>
      </c>
      <c r="E733" t="s">
        <v>74</v>
      </c>
      <c r="F733" t="s">
        <v>11601</v>
      </c>
      <c r="G733" t="s">
        <v>74</v>
      </c>
      <c r="H733" t="s">
        <v>74</v>
      </c>
      <c r="I733" t="s">
        <v>11602</v>
      </c>
      <c r="J733" t="s">
        <v>8246</v>
      </c>
      <c r="K733" t="s">
        <v>74</v>
      </c>
      <c r="L733" t="s">
        <v>74</v>
      </c>
      <c r="M733" t="s">
        <v>78</v>
      </c>
      <c r="N733" t="s">
        <v>79</v>
      </c>
      <c r="O733" t="s">
        <v>74</v>
      </c>
      <c r="P733" t="s">
        <v>74</v>
      </c>
      <c r="Q733" t="s">
        <v>74</v>
      </c>
      <c r="R733" t="s">
        <v>74</v>
      </c>
      <c r="S733" t="s">
        <v>74</v>
      </c>
      <c r="T733" t="s">
        <v>74</v>
      </c>
      <c r="U733" t="s">
        <v>11603</v>
      </c>
      <c r="V733" t="s">
        <v>11604</v>
      </c>
      <c r="W733" t="s">
        <v>11605</v>
      </c>
      <c r="X733" t="s">
        <v>11606</v>
      </c>
      <c r="Y733" t="s">
        <v>11607</v>
      </c>
      <c r="Z733" t="s">
        <v>11608</v>
      </c>
      <c r="AA733" t="s">
        <v>11609</v>
      </c>
      <c r="AB733" t="s">
        <v>11610</v>
      </c>
      <c r="AC733" t="s">
        <v>11611</v>
      </c>
      <c r="AD733" t="s">
        <v>11612</v>
      </c>
      <c r="AE733" t="s">
        <v>74</v>
      </c>
      <c r="AF733" t="s">
        <v>74</v>
      </c>
      <c r="AG733">
        <v>85</v>
      </c>
      <c r="AH733">
        <v>91</v>
      </c>
      <c r="AI733">
        <v>104</v>
      </c>
      <c r="AJ733">
        <v>1</v>
      </c>
      <c r="AK733">
        <v>76</v>
      </c>
      <c r="AL733" t="s">
        <v>141</v>
      </c>
      <c r="AM733" t="s">
        <v>142</v>
      </c>
      <c r="AN733" t="s">
        <v>143</v>
      </c>
      <c r="AO733" t="s">
        <v>8255</v>
      </c>
      <c r="AP733" t="s">
        <v>8256</v>
      </c>
      <c r="AQ733" t="s">
        <v>74</v>
      </c>
      <c r="AR733" t="s">
        <v>8257</v>
      </c>
      <c r="AS733" t="s">
        <v>8258</v>
      </c>
      <c r="AT733" t="s">
        <v>11613</v>
      </c>
      <c r="AU733">
        <v>2007</v>
      </c>
      <c r="AV733">
        <v>112</v>
      </c>
      <c r="AW733" t="s">
        <v>11614</v>
      </c>
      <c r="AX733" t="s">
        <v>74</v>
      </c>
      <c r="AY733" t="s">
        <v>74</v>
      </c>
      <c r="AZ733" t="s">
        <v>74</v>
      </c>
      <c r="BA733" t="s">
        <v>74</v>
      </c>
      <c r="BB733" t="s">
        <v>74</v>
      </c>
      <c r="BC733" t="s">
        <v>74</v>
      </c>
      <c r="BD733" t="s">
        <v>11615</v>
      </c>
      <c r="BE733" t="s">
        <v>11616</v>
      </c>
      <c r="BF733" t="str">
        <f>HYPERLINK("http://dx.doi.org/10.1029/2005JG000141","http://dx.doi.org/10.1029/2005JG000141")</f>
        <v>http://dx.doi.org/10.1029/2005JG000141</v>
      </c>
      <c r="BG733" t="s">
        <v>74</v>
      </c>
      <c r="BH733" t="s">
        <v>74</v>
      </c>
      <c r="BI733">
        <v>12</v>
      </c>
      <c r="BJ733" t="s">
        <v>8263</v>
      </c>
      <c r="BK733" t="s">
        <v>98</v>
      </c>
      <c r="BL733" t="s">
        <v>8264</v>
      </c>
      <c r="BM733" t="s">
        <v>11617</v>
      </c>
      <c r="BN733" t="s">
        <v>74</v>
      </c>
      <c r="BO733" t="s">
        <v>304</v>
      </c>
      <c r="BP733" t="s">
        <v>74</v>
      </c>
      <c r="BQ733" t="s">
        <v>74</v>
      </c>
      <c r="BR733" t="s">
        <v>101</v>
      </c>
      <c r="BS733" t="s">
        <v>11618</v>
      </c>
      <c r="BT733" t="str">
        <f>HYPERLINK("https%3A%2F%2Fwww.webofscience.com%2Fwos%2Fwoscc%2Ffull-record%2FWOS:000244203700001","View Full Record in Web of Science")</f>
        <v>View Full Record in Web of Science</v>
      </c>
    </row>
    <row r="734" spans="1:72" x14ac:dyDescent="0.15">
      <c r="A734" t="s">
        <v>72</v>
      </c>
      <c r="B734" t="s">
        <v>11619</v>
      </c>
      <c r="C734" t="s">
        <v>74</v>
      </c>
      <c r="D734" t="s">
        <v>74</v>
      </c>
      <c r="E734" t="s">
        <v>74</v>
      </c>
      <c r="F734" t="s">
        <v>11620</v>
      </c>
      <c r="G734" t="s">
        <v>74</v>
      </c>
      <c r="H734" t="s">
        <v>74</v>
      </c>
      <c r="I734" t="s">
        <v>11621</v>
      </c>
      <c r="J734" t="s">
        <v>470</v>
      </c>
      <c r="K734" t="s">
        <v>74</v>
      </c>
      <c r="L734" t="s">
        <v>74</v>
      </c>
      <c r="M734" t="s">
        <v>78</v>
      </c>
      <c r="N734" t="s">
        <v>1440</v>
      </c>
      <c r="O734" t="s">
        <v>74</v>
      </c>
      <c r="P734" t="s">
        <v>74</v>
      </c>
      <c r="Q734" t="s">
        <v>74</v>
      </c>
      <c r="R734" t="s">
        <v>74</v>
      </c>
      <c r="S734" t="s">
        <v>74</v>
      </c>
      <c r="T734" t="s">
        <v>74</v>
      </c>
      <c r="U734" t="s">
        <v>11622</v>
      </c>
      <c r="V734" t="s">
        <v>74</v>
      </c>
      <c r="W734" t="s">
        <v>74</v>
      </c>
      <c r="X734" t="s">
        <v>74</v>
      </c>
      <c r="Y734" t="s">
        <v>74</v>
      </c>
      <c r="Z734" t="s">
        <v>74</v>
      </c>
      <c r="AA734" t="s">
        <v>74</v>
      </c>
      <c r="AB734" t="s">
        <v>74</v>
      </c>
      <c r="AC734" t="s">
        <v>74</v>
      </c>
      <c r="AD734" t="s">
        <v>74</v>
      </c>
      <c r="AE734" t="s">
        <v>74</v>
      </c>
      <c r="AF734" t="s">
        <v>74</v>
      </c>
      <c r="AG734">
        <v>20</v>
      </c>
      <c r="AH734">
        <v>0</v>
      </c>
      <c r="AI734">
        <v>0</v>
      </c>
      <c r="AJ734">
        <v>0</v>
      </c>
      <c r="AK734">
        <v>0</v>
      </c>
      <c r="AL734" t="s">
        <v>481</v>
      </c>
      <c r="AM734" t="s">
        <v>142</v>
      </c>
      <c r="AN734" t="s">
        <v>482</v>
      </c>
      <c r="AO734" t="s">
        <v>483</v>
      </c>
      <c r="AP734" t="s">
        <v>74</v>
      </c>
      <c r="AQ734" t="s">
        <v>74</v>
      </c>
      <c r="AR734" t="s">
        <v>484</v>
      </c>
      <c r="AS734" t="s">
        <v>485</v>
      </c>
      <c r="AT734" t="s">
        <v>11623</v>
      </c>
      <c r="AU734">
        <v>2007</v>
      </c>
      <c r="AV734">
        <v>104</v>
      </c>
      <c r="AW734">
        <v>6</v>
      </c>
      <c r="AX734" t="s">
        <v>74</v>
      </c>
      <c r="AY734" t="s">
        <v>74</v>
      </c>
      <c r="AZ734" t="s">
        <v>74</v>
      </c>
      <c r="BA734" t="s">
        <v>74</v>
      </c>
      <c r="BB734">
        <v>1751</v>
      </c>
      <c r="BC734">
        <v>1753</v>
      </c>
      <c r="BD734" t="s">
        <v>74</v>
      </c>
      <c r="BE734" t="s">
        <v>11624</v>
      </c>
      <c r="BF734" t="str">
        <f>HYPERLINK("http://dx.doi.org/10.1073/pnas.0609142104","http://dx.doi.org/10.1073/pnas.0609142104")</f>
        <v>http://dx.doi.org/10.1073/pnas.0609142104</v>
      </c>
      <c r="BG734" t="s">
        <v>74</v>
      </c>
      <c r="BH734" t="s">
        <v>74</v>
      </c>
      <c r="BI734">
        <v>3</v>
      </c>
      <c r="BJ734" t="s">
        <v>241</v>
      </c>
      <c r="BK734" t="s">
        <v>98</v>
      </c>
      <c r="BL734" t="s">
        <v>242</v>
      </c>
      <c r="BM734" t="s">
        <v>11625</v>
      </c>
      <c r="BN734">
        <v>17267607</v>
      </c>
      <c r="BO734" t="s">
        <v>198</v>
      </c>
      <c r="BP734" t="s">
        <v>74</v>
      </c>
      <c r="BQ734" t="s">
        <v>74</v>
      </c>
      <c r="BR734" t="s">
        <v>101</v>
      </c>
      <c r="BS734" t="s">
        <v>11626</v>
      </c>
      <c r="BT734" t="str">
        <f>HYPERLINK("https%3A%2F%2Fwww.webofscience.com%2Fwos%2Fwoscc%2Ffull-record%2FWOS:000244127900006","View Full Record in Web of Science")</f>
        <v>View Full Record in Web of Science</v>
      </c>
    </row>
    <row r="735" spans="1:72" x14ac:dyDescent="0.15">
      <c r="A735" t="s">
        <v>72</v>
      </c>
      <c r="B735" t="s">
        <v>11627</v>
      </c>
      <c r="C735" t="s">
        <v>74</v>
      </c>
      <c r="D735" t="s">
        <v>74</v>
      </c>
      <c r="E735" t="s">
        <v>74</v>
      </c>
      <c r="F735" t="s">
        <v>11628</v>
      </c>
      <c r="G735" t="s">
        <v>74</v>
      </c>
      <c r="H735" t="s">
        <v>74</v>
      </c>
      <c r="I735" t="s">
        <v>11629</v>
      </c>
      <c r="J735" t="s">
        <v>8122</v>
      </c>
      <c r="K735" t="s">
        <v>74</v>
      </c>
      <c r="L735" t="s">
        <v>74</v>
      </c>
      <c r="M735" t="s">
        <v>78</v>
      </c>
      <c r="N735" t="s">
        <v>79</v>
      </c>
      <c r="O735" t="s">
        <v>74</v>
      </c>
      <c r="P735" t="s">
        <v>74</v>
      </c>
      <c r="Q735" t="s">
        <v>74</v>
      </c>
      <c r="R735" t="s">
        <v>74</v>
      </c>
      <c r="S735" t="s">
        <v>74</v>
      </c>
      <c r="T735" t="s">
        <v>11630</v>
      </c>
      <c r="U735" t="s">
        <v>11631</v>
      </c>
      <c r="V735" t="s">
        <v>11632</v>
      </c>
      <c r="W735" t="s">
        <v>11633</v>
      </c>
      <c r="X735" t="s">
        <v>11634</v>
      </c>
      <c r="Y735" t="s">
        <v>11635</v>
      </c>
      <c r="Z735" t="s">
        <v>11636</v>
      </c>
      <c r="AA735" t="s">
        <v>74</v>
      </c>
      <c r="AB735" t="s">
        <v>74</v>
      </c>
      <c r="AC735" t="s">
        <v>74</v>
      </c>
      <c r="AD735" t="s">
        <v>74</v>
      </c>
      <c r="AE735" t="s">
        <v>74</v>
      </c>
      <c r="AF735" t="s">
        <v>74</v>
      </c>
      <c r="AG735">
        <v>17</v>
      </c>
      <c r="AH735">
        <v>25</v>
      </c>
      <c r="AI735">
        <v>27</v>
      </c>
      <c r="AJ735">
        <v>2</v>
      </c>
      <c r="AK735">
        <v>14</v>
      </c>
      <c r="AL735" t="s">
        <v>592</v>
      </c>
      <c r="AM735" t="s">
        <v>273</v>
      </c>
      <c r="AN735" t="s">
        <v>593</v>
      </c>
      <c r="AO735" t="s">
        <v>8132</v>
      </c>
      <c r="AP735" t="s">
        <v>74</v>
      </c>
      <c r="AQ735" t="s">
        <v>74</v>
      </c>
      <c r="AR735" t="s">
        <v>8134</v>
      </c>
      <c r="AS735" t="s">
        <v>8135</v>
      </c>
      <c r="AT735" t="s">
        <v>11637</v>
      </c>
      <c r="AU735">
        <v>2007</v>
      </c>
      <c r="AV735">
        <v>583</v>
      </c>
      <c r="AW735">
        <v>2</v>
      </c>
      <c r="AX735" t="s">
        <v>74</v>
      </c>
      <c r="AY735" t="s">
        <v>74</v>
      </c>
      <c r="AZ735" t="s">
        <v>74</v>
      </c>
      <c r="BA735" t="s">
        <v>74</v>
      </c>
      <c r="BB735">
        <v>384</v>
      </c>
      <c r="BC735">
        <v>391</v>
      </c>
      <c r="BD735" t="s">
        <v>74</v>
      </c>
      <c r="BE735" t="s">
        <v>11638</v>
      </c>
      <c r="BF735" t="str">
        <f>HYPERLINK("http://dx.doi.org/10.1016/j.aca.2006.10.032","http://dx.doi.org/10.1016/j.aca.2006.10.032")</f>
        <v>http://dx.doi.org/10.1016/j.aca.2006.10.032</v>
      </c>
      <c r="BG735" t="s">
        <v>74</v>
      </c>
      <c r="BH735" t="s">
        <v>74</v>
      </c>
      <c r="BI735">
        <v>8</v>
      </c>
      <c r="BJ735" t="s">
        <v>8138</v>
      </c>
      <c r="BK735" t="s">
        <v>98</v>
      </c>
      <c r="BL735" t="s">
        <v>6486</v>
      </c>
      <c r="BM735" t="s">
        <v>11639</v>
      </c>
      <c r="BN735">
        <v>17386571</v>
      </c>
      <c r="BO735" t="s">
        <v>74</v>
      </c>
      <c r="BP735" t="s">
        <v>74</v>
      </c>
      <c r="BQ735" t="s">
        <v>74</v>
      </c>
      <c r="BR735" t="s">
        <v>101</v>
      </c>
      <c r="BS735" t="s">
        <v>11640</v>
      </c>
      <c r="BT735" t="str">
        <f>HYPERLINK("https%3A%2F%2Fwww.webofscience.com%2Fwos%2Fwoscc%2Ffull-record%2FWOS:000244053500023","View Full Record in Web of Science")</f>
        <v>View Full Record in Web of Science</v>
      </c>
    </row>
    <row r="736" spans="1:72" x14ac:dyDescent="0.15">
      <c r="A736" t="s">
        <v>72</v>
      </c>
      <c r="B736" t="s">
        <v>11641</v>
      </c>
      <c r="C736" t="s">
        <v>74</v>
      </c>
      <c r="D736" t="s">
        <v>74</v>
      </c>
      <c r="E736" t="s">
        <v>74</v>
      </c>
      <c r="F736" t="s">
        <v>11642</v>
      </c>
      <c r="G736" t="s">
        <v>74</v>
      </c>
      <c r="H736" t="s">
        <v>74</v>
      </c>
      <c r="I736" t="s">
        <v>11643</v>
      </c>
      <c r="J736" t="s">
        <v>11644</v>
      </c>
      <c r="K736" t="s">
        <v>74</v>
      </c>
      <c r="L736" t="s">
        <v>74</v>
      </c>
      <c r="M736" t="s">
        <v>78</v>
      </c>
      <c r="N736" t="s">
        <v>514</v>
      </c>
      <c r="O736" t="s">
        <v>11645</v>
      </c>
      <c r="P736">
        <v>2005</v>
      </c>
      <c r="Q736" t="s">
        <v>11646</v>
      </c>
      <c r="R736" t="s">
        <v>74</v>
      </c>
      <c r="S736" t="s">
        <v>74</v>
      </c>
      <c r="T736" t="s">
        <v>11647</v>
      </c>
      <c r="U736" t="s">
        <v>11648</v>
      </c>
      <c r="V736" t="s">
        <v>11649</v>
      </c>
      <c r="W736" t="s">
        <v>11650</v>
      </c>
      <c r="X736" t="s">
        <v>11651</v>
      </c>
      <c r="Y736" t="s">
        <v>11652</v>
      </c>
      <c r="Z736" t="s">
        <v>11653</v>
      </c>
      <c r="AA736" t="s">
        <v>74</v>
      </c>
      <c r="AB736" t="s">
        <v>11654</v>
      </c>
      <c r="AC736" t="s">
        <v>74</v>
      </c>
      <c r="AD736" t="s">
        <v>74</v>
      </c>
      <c r="AE736" t="s">
        <v>74</v>
      </c>
      <c r="AF736" t="s">
        <v>74</v>
      </c>
      <c r="AG736">
        <v>38</v>
      </c>
      <c r="AH736">
        <v>1</v>
      </c>
      <c r="AI736">
        <v>1</v>
      </c>
      <c r="AJ736">
        <v>0</v>
      </c>
      <c r="AK736">
        <v>14</v>
      </c>
      <c r="AL736" t="s">
        <v>1503</v>
      </c>
      <c r="AM736" t="s">
        <v>1504</v>
      </c>
      <c r="AN736" t="s">
        <v>1505</v>
      </c>
      <c r="AO736" t="s">
        <v>11655</v>
      </c>
      <c r="AP736" t="s">
        <v>11656</v>
      </c>
      <c r="AQ736" t="s">
        <v>74</v>
      </c>
      <c r="AR736" t="s">
        <v>11657</v>
      </c>
      <c r="AS736" t="s">
        <v>11658</v>
      </c>
      <c r="AT736" t="s">
        <v>11659</v>
      </c>
      <c r="AU736">
        <v>2007</v>
      </c>
      <c r="AV736">
        <v>60</v>
      </c>
      <c r="AW736" t="s">
        <v>11660</v>
      </c>
      <c r="AX736" t="s">
        <v>74</v>
      </c>
      <c r="AY736" t="s">
        <v>74</v>
      </c>
      <c r="AZ736" t="s">
        <v>74</v>
      </c>
      <c r="BA736" t="s">
        <v>74</v>
      </c>
      <c r="BB736">
        <v>247</v>
      </c>
      <c r="BC736">
        <v>253</v>
      </c>
      <c r="BD736" t="s">
        <v>74</v>
      </c>
      <c r="BE736" t="s">
        <v>11661</v>
      </c>
      <c r="BF736" t="str">
        <f>HYPERLINK("http://dx.doi.org/10.1016/j.actaastro.2006.08.005","http://dx.doi.org/10.1016/j.actaastro.2006.08.005")</f>
        <v>http://dx.doi.org/10.1016/j.actaastro.2006.08.005</v>
      </c>
      <c r="BG736" t="s">
        <v>74</v>
      </c>
      <c r="BH736" t="s">
        <v>74</v>
      </c>
      <c r="BI736">
        <v>7</v>
      </c>
      <c r="BJ736" t="s">
        <v>11662</v>
      </c>
      <c r="BK736" t="s">
        <v>535</v>
      </c>
      <c r="BL736" t="s">
        <v>6448</v>
      </c>
      <c r="BM736" t="s">
        <v>11663</v>
      </c>
      <c r="BN736" t="s">
        <v>74</v>
      </c>
      <c r="BO736" t="s">
        <v>74</v>
      </c>
      <c r="BP736" t="s">
        <v>74</v>
      </c>
      <c r="BQ736" t="s">
        <v>74</v>
      </c>
      <c r="BR736" t="s">
        <v>101</v>
      </c>
      <c r="BS736" t="s">
        <v>11664</v>
      </c>
      <c r="BT736" t="str">
        <f>HYPERLINK("https%3A%2F%2Fwww.webofscience.com%2Fwos%2Fwoscc%2Ffull-record%2FWOS:000244801900005","View Full Record in Web of Science")</f>
        <v>View Full Record in Web of Science</v>
      </c>
    </row>
    <row r="737" spans="1:72" x14ac:dyDescent="0.15">
      <c r="A737" t="s">
        <v>72</v>
      </c>
      <c r="B737" t="s">
        <v>11665</v>
      </c>
      <c r="C737" t="s">
        <v>74</v>
      </c>
      <c r="D737" t="s">
        <v>74</v>
      </c>
      <c r="E737" t="s">
        <v>74</v>
      </c>
      <c r="F737" t="s">
        <v>11666</v>
      </c>
      <c r="G737" t="s">
        <v>74</v>
      </c>
      <c r="H737" t="s">
        <v>74</v>
      </c>
      <c r="I737" t="s">
        <v>11667</v>
      </c>
      <c r="J737" t="s">
        <v>11668</v>
      </c>
      <c r="K737" t="s">
        <v>74</v>
      </c>
      <c r="L737" t="s">
        <v>74</v>
      </c>
      <c r="M737" t="s">
        <v>78</v>
      </c>
      <c r="N737" t="s">
        <v>248</v>
      </c>
      <c r="O737" t="s">
        <v>74</v>
      </c>
      <c r="P737" t="s">
        <v>74</v>
      </c>
      <c r="Q737" t="s">
        <v>74</v>
      </c>
      <c r="R737" t="s">
        <v>74</v>
      </c>
      <c r="S737" t="s">
        <v>74</v>
      </c>
      <c r="T737" t="s">
        <v>11669</v>
      </c>
      <c r="U737" t="s">
        <v>11670</v>
      </c>
      <c r="V737" t="s">
        <v>11671</v>
      </c>
      <c r="W737" t="s">
        <v>11672</v>
      </c>
      <c r="X737" t="s">
        <v>3122</v>
      </c>
      <c r="Y737" t="s">
        <v>11673</v>
      </c>
      <c r="Z737" t="s">
        <v>11674</v>
      </c>
      <c r="AA737" t="s">
        <v>11675</v>
      </c>
      <c r="AB737" t="s">
        <v>11676</v>
      </c>
      <c r="AC737" t="s">
        <v>74</v>
      </c>
      <c r="AD737" t="s">
        <v>74</v>
      </c>
      <c r="AE737" t="s">
        <v>74</v>
      </c>
      <c r="AF737" t="s">
        <v>74</v>
      </c>
      <c r="AG737">
        <v>107</v>
      </c>
      <c r="AH737">
        <v>38</v>
      </c>
      <c r="AI737">
        <v>43</v>
      </c>
      <c r="AJ737">
        <v>2</v>
      </c>
      <c r="AK737">
        <v>48</v>
      </c>
      <c r="AL737" t="s">
        <v>2170</v>
      </c>
      <c r="AM737" t="s">
        <v>2171</v>
      </c>
      <c r="AN737" t="s">
        <v>2172</v>
      </c>
      <c r="AO737" t="s">
        <v>11677</v>
      </c>
      <c r="AP737" t="s">
        <v>11678</v>
      </c>
      <c r="AQ737" t="s">
        <v>74</v>
      </c>
      <c r="AR737" t="s">
        <v>11679</v>
      </c>
      <c r="AS737" t="s">
        <v>11680</v>
      </c>
      <c r="AT737" t="s">
        <v>11681</v>
      </c>
      <c r="AU737">
        <v>2007</v>
      </c>
      <c r="AV737">
        <v>387</v>
      </c>
      <c r="AW737">
        <v>3</v>
      </c>
      <c r="AX737" t="s">
        <v>74</v>
      </c>
      <c r="AY737" t="s">
        <v>74</v>
      </c>
      <c r="AZ737" t="s">
        <v>74</v>
      </c>
      <c r="BA737" t="s">
        <v>74</v>
      </c>
      <c r="BB737">
        <v>977</v>
      </c>
      <c r="BC737">
        <v>998</v>
      </c>
      <c r="BD737" t="s">
        <v>74</v>
      </c>
      <c r="BE737" t="s">
        <v>11682</v>
      </c>
      <c r="BF737" t="str">
        <f>HYPERLINK("http://dx.doi.org/10.1007/s00216-006-0994-0","http://dx.doi.org/10.1007/s00216-006-0994-0")</f>
        <v>http://dx.doi.org/10.1007/s00216-006-0994-0</v>
      </c>
      <c r="BG737" t="s">
        <v>74</v>
      </c>
      <c r="BH737" t="s">
        <v>74</v>
      </c>
      <c r="BI737">
        <v>22</v>
      </c>
      <c r="BJ737" t="s">
        <v>11683</v>
      </c>
      <c r="BK737" t="s">
        <v>98</v>
      </c>
      <c r="BL737" t="s">
        <v>11684</v>
      </c>
      <c r="BM737" t="s">
        <v>11685</v>
      </c>
      <c r="BN737">
        <v>17200845</v>
      </c>
      <c r="BO737" t="s">
        <v>74</v>
      </c>
      <c r="BP737" t="s">
        <v>74</v>
      </c>
      <c r="BQ737" t="s">
        <v>74</v>
      </c>
      <c r="BR737" t="s">
        <v>101</v>
      </c>
      <c r="BS737" t="s">
        <v>11686</v>
      </c>
      <c r="BT737" t="str">
        <f>HYPERLINK("https%3A%2F%2Fwww.webofscience.com%2Fwos%2Fwoscc%2Ffull-record%2FWOS:000243815500026","View Full Record in Web of Science")</f>
        <v>View Full Record in Web of Science</v>
      </c>
    </row>
    <row r="738" spans="1:72" x14ac:dyDescent="0.15">
      <c r="A738" t="s">
        <v>72</v>
      </c>
      <c r="B738" t="s">
        <v>11687</v>
      </c>
      <c r="C738" t="s">
        <v>74</v>
      </c>
      <c r="D738" t="s">
        <v>74</v>
      </c>
      <c r="E738" t="s">
        <v>74</v>
      </c>
      <c r="F738" t="s">
        <v>11688</v>
      </c>
      <c r="G738" t="s">
        <v>74</v>
      </c>
      <c r="H738" t="s">
        <v>74</v>
      </c>
      <c r="I738" t="s">
        <v>11689</v>
      </c>
      <c r="J738" t="s">
        <v>1192</v>
      </c>
      <c r="K738" t="s">
        <v>74</v>
      </c>
      <c r="L738" t="s">
        <v>74</v>
      </c>
      <c r="M738" t="s">
        <v>78</v>
      </c>
      <c r="N738" t="s">
        <v>79</v>
      </c>
      <c r="O738" t="s">
        <v>74</v>
      </c>
      <c r="P738" t="s">
        <v>74</v>
      </c>
      <c r="Q738" t="s">
        <v>74</v>
      </c>
      <c r="R738" t="s">
        <v>74</v>
      </c>
      <c r="S738" t="s">
        <v>74</v>
      </c>
      <c r="T738" t="s">
        <v>11690</v>
      </c>
      <c r="U738" t="s">
        <v>11691</v>
      </c>
      <c r="V738" t="s">
        <v>11692</v>
      </c>
      <c r="W738" t="s">
        <v>11693</v>
      </c>
      <c r="X738" t="s">
        <v>11694</v>
      </c>
      <c r="Y738" t="s">
        <v>11695</v>
      </c>
      <c r="Z738" t="s">
        <v>1199</v>
      </c>
      <c r="AA738" t="s">
        <v>11696</v>
      </c>
      <c r="AB738" t="s">
        <v>11697</v>
      </c>
      <c r="AC738" t="s">
        <v>74</v>
      </c>
      <c r="AD738" t="s">
        <v>74</v>
      </c>
      <c r="AE738" t="s">
        <v>74</v>
      </c>
      <c r="AF738" t="s">
        <v>74</v>
      </c>
      <c r="AG738">
        <v>33</v>
      </c>
      <c r="AH738">
        <v>39</v>
      </c>
      <c r="AI738">
        <v>43</v>
      </c>
      <c r="AJ738">
        <v>1</v>
      </c>
      <c r="AK738">
        <v>36</v>
      </c>
      <c r="AL738" t="s">
        <v>1202</v>
      </c>
      <c r="AM738" t="s">
        <v>1203</v>
      </c>
      <c r="AN738" t="s">
        <v>1204</v>
      </c>
      <c r="AO738" t="s">
        <v>1205</v>
      </c>
      <c r="AP738" t="s">
        <v>1206</v>
      </c>
      <c r="AQ738" t="s">
        <v>74</v>
      </c>
      <c r="AR738" t="s">
        <v>1207</v>
      </c>
      <c r="AS738" t="s">
        <v>1208</v>
      </c>
      <c r="AT738" t="s">
        <v>11681</v>
      </c>
      <c r="AU738">
        <v>2007</v>
      </c>
      <c r="AV738">
        <v>13</v>
      </c>
      <c r="AW738">
        <v>1</v>
      </c>
      <c r="AX738" t="s">
        <v>74</v>
      </c>
      <c r="AY738" t="s">
        <v>74</v>
      </c>
      <c r="AZ738" t="s">
        <v>74</v>
      </c>
      <c r="BA738" t="s">
        <v>74</v>
      </c>
      <c r="BB738">
        <v>50</v>
      </c>
      <c r="BC738">
        <v>58</v>
      </c>
      <c r="BD738" t="s">
        <v>74</v>
      </c>
      <c r="BE738" t="s">
        <v>11698</v>
      </c>
      <c r="BF738" t="str">
        <f>HYPERLINK("http://dx.doi.org/10.1111/j.1365-2095.2007.00453.x","http://dx.doi.org/10.1111/j.1365-2095.2007.00453.x")</f>
        <v>http://dx.doi.org/10.1111/j.1365-2095.2007.00453.x</v>
      </c>
      <c r="BG738" t="s">
        <v>74</v>
      </c>
      <c r="BH738" t="s">
        <v>74</v>
      </c>
      <c r="BI738">
        <v>9</v>
      </c>
      <c r="BJ738" t="s">
        <v>1210</v>
      </c>
      <c r="BK738" t="s">
        <v>98</v>
      </c>
      <c r="BL738" t="s">
        <v>1210</v>
      </c>
      <c r="BM738" t="s">
        <v>11699</v>
      </c>
      <c r="BN738" t="s">
        <v>74</v>
      </c>
      <c r="BO738" t="s">
        <v>1212</v>
      </c>
      <c r="BP738" t="s">
        <v>74</v>
      </c>
      <c r="BQ738" t="s">
        <v>74</v>
      </c>
      <c r="BR738" t="s">
        <v>101</v>
      </c>
      <c r="BS738" t="s">
        <v>11700</v>
      </c>
      <c r="BT738" t="str">
        <f>HYPERLINK("https%3A%2F%2Fwww.webofscience.com%2Fwos%2Fwoscc%2Ffull-record%2FWOS:000243411600006","View Full Record in Web of Science")</f>
        <v>View Full Record in Web of Science</v>
      </c>
    </row>
    <row r="739" spans="1:72" x14ac:dyDescent="0.15">
      <c r="A739" t="s">
        <v>72</v>
      </c>
      <c r="B739" t="s">
        <v>11701</v>
      </c>
      <c r="C739" t="s">
        <v>74</v>
      </c>
      <c r="D739" t="s">
        <v>74</v>
      </c>
      <c r="E739" t="s">
        <v>74</v>
      </c>
      <c r="F739" t="s">
        <v>11702</v>
      </c>
      <c r="G739" t="s">
        <v>74</v>
      </c>
      <c r="H739" t="s">
        <v>74</v>
      </c>
      <c r="I739" t="s">
        <v>11703</v>
      </c>
      <c r="J739" t="s">
        <v>1217</v>
      </c>
      <c r="K739" t="s">
        <v>74</v>
      </c>
      <c r="L739" t="s">
        <v>74</v>
      </c>
      <c r="M739" t="s">
        <v>78</v>
      </c>
      <c r="N739" t="s">
        <v>620</v>
      </c>
      <c r="O739" t="s">
        <v>74</v>
      </c>
      <c r="P739" t="s">
        <v>74</v>
      </c>
      <c r="Q739" t="s">
        <v>74</v>
      </c>
      <c r="R739" t="s">
        <v>74</v>
      </c>
      <c r="S739" t="s">
        <v>74</v>
      </c>
      <c r="T739" t="s">
        <v>74</v>
      </c>
      <c r="U739" t="s">
        <v>74</v>
      </c>
      <c r="V739" t="s">
        <v>74</v>
      </c>
      <c r="W739" t="s">
        <v>11704</v>
      </c>
      <c r="X739" t="s">
        <v>11705</v>
      </c>
      <c r="Y739" t="s">
        <v>11706</v>
      </c>
      <c r="Z739" t="s">
        <v>11707</v>
      </c>
      <c r="AA739" t="s">
        <v>74</v>
      </c>
      <c r="AB739" t="s">
        <v>74</v>
      </c>
      <c r="AC739" t="s">
        <v>74</v>
      </c>
      <c r="AD739" t="s">
        <v>74</v>
      </c>
      <c r="AE739" t="s">
        <v>74</v>
      </c>
      <c r="AF739" t="s">
        <v>74</v>
      </c>
      <c r="AG739">
        <v>0</v>
      </c>
      <c r="AH739">
        <v>1</v>
      </c>
      <c r="AI739">
        <v>1</v>
      </c>
      <c r="AJ739">
        <v>0</v>
      </c>
      <c r="AK739">
        <v>3</v>
      </c>
      <c r="AL739" t="s">
        <v>1262</v>
      </c>
      <c r="AM739" t="s">
        <v>1263</v>
      </c>
      <c r="AN739" t="s">
        <v>1264</v>
      </c>
      <c r="AO739" t="s">
        <v>1228</v>
      </c>
      <c r="AP739" t="s">
        <v>1229</v>
      </c>
      <c r="AQ739" t="s">
        <v>74</v>
      </c>
      <c r="AR739" t="s">
        <v>1230</v>
      </c>
      <c r="AS739" t="s">
        <v>1231</v>
      </c>
      <c r="AT739" t="s">
        <v>11681</v>
      </c>
      <c r="AU739">
        <v>2007</v>
      </c>
      <c r="AV739">
        <v>39</v>
      </c>
      <c r="AW739">
        <v>1</v>
      </c>
      <c r="AX739" t="s">
        <v>74</v>
      </c>
      <c r="AY739" t="s">
        <v>74</v>
      </c>
      <c r="AZ739" t="s">
        <v>74</v>
      </c>
      <c r="BA739" t="s">
        <v>74</v>
      </c>
      <c r="BB739">
        <v>1</v>
      </c>
      <c r="BC739">
        <v>1</v>
      </c>
      <c r="BD739" t="s">
        <v>74</v>
      </c>
      <c r="BE739" t="s">
        <v>11708</v>
      </c>
      <c r="BF739" t="str">
        <f>HYPERLINK("http://dx.doi.org/10.1657/1523-0430(2007)39[1:POTFCE]2.0.CO;2","http://dx.doi.org/10.1657/1523-0430(2007)39[1:POTFCE]2.0.CO;2")</f>
        <v>http://dx.doi.org/10.1657/1523-0430(2007)39[1:POTFCE]2.0.CO;2</v>
      </c>
      <c r="BG739" t="s">
        <v>74</v>
      </c>
      <c r="BH739" t="s">
        <v>74</v>
      </c>
      <c r="BI739">
        <v>1</v>
      </c>
      <c r="BJ739" t="s">
        <v>1233</v>
      </c>
      <c r="BK739" t="s">
        <v>98</v>
      </c>
      <c r="BL739" t="s">
        <v>1234</v>
      </c>
      <c r="BM739" t="s">
        <v>11709</v>
      </c>
      <c r="BN739" t="s">
        <v>74</v>
      </c>
      <c r="BO739" t="s">
        <v>1249</v>
      </c>
      <c r="BP739" t="s">
        <v>74</v>
      </c>
      <c r="BQ739" t="s">
        <v>74</v>
      </c>
      <c r="BR739" t="s">
        <v>101</v>
      </c>
      <c r="BS739" t="s">
        <v>11710</v>
      </c>
      <c r="BT739" t="str">
        <f>HYPERLINK("https%3A%2F%2Fwww.webofscience.com%2Fwos%2Fwoscc%2Ffull-record%2FWOS:000244658600001","View Full Record in Web of Science")</f>
        <v>View Full Record in Web of Science</v>
      </c>
    </row>
    <row r="740" spans="1:72" x14ac:dyDescent="0.15">
      <c r="A740" t="s">
        <v>72</v>
      </c>
      <c r="B740" t="s">
        <v>11711</v>
      </c>
      <c r="C740" t="s">
        <v>74</v>
      </c>
      <c r="D740" t="s">
        <v>74</v>
      </c>
      <c r="E740" t="s">
        <v>74</v>
      </c>
      <c r="F740" t="s">
        <v>11712</v>
      </c>
      <c r="G740" t="s">
        <v>74</v>
      </c>
      <c r="H740" t="s">
        <v>74</v>
      </c>
      <c r="I740" t="s">
        <v>11713</v>
      </c>
      <c r="J740" t="s">
        <v>1217</v>
      </c>
      <c r="K740" t="s">
        <v>74</v>
      </c>
      <c r="L740" t="s">
        <v>74</v>
      </c>
      <c r="M740" t="s">
        <v>78</v>
      </c>
      <c r="N740" t="s">
        <v>514</v>
      </c>
      <c r="O740" t="s">
        <v>11714</v>
      </c>
      <c r="P740" t="s">
        <v>11715</v>
      </c>
      <c r="Q740" t="s">
        <v>11716</v>
      </c>
      <c r="R740" t="s">
        <v>74</v>
      </c>
      <c r="S740" t="s">
        <v>74</v>
      </c>
      <c r="T740" t="s">
        <v>74</v>
      </c>
      <c r="U740" t="s">
        <v>11717</v>
      </c>
      <c r="V740" t="s">
        <v>11718</v>
      </c>
      <c r="W740" t="s">
        <v>11719</v>
      </c>
      <c r="X740" t="s">
        <v>11720</v>
      </c>
      <c r="Y740" t="s">
        <v>11721</v>
      </c>
      <c r="Z740" t="s">
        <v>11722</v>
      </c>
      <c r="AA740" t="s">
        <v>74</v>
      </c>
      <c r="AB740" t="s">
        <v>74</v>
      </c>
      <c r="AC740" t="s">
        <v>74</v>
      </c>
      <c r="AD740" t="s">
        <v>74</v>
      </c>
      <c r="AE740" t="s">
        <v>74</v>
      </c>
      <c r="AF740" t="s">
        <v>74</v>
      </c>
      <c r="AG740">
        <v>12</v>
      </c>
      <c r="AH740">
        <v>5</v>
      </c>
      <c r="AI740">
        <v>8</v>
      </c>
      <c r="AJ740">
        <v>0</v>
      </c>
      <c r="AK740">
        <v>10</v>
      </c>
      <c r="AL740" t="s">
        <v>1262</v>
      </c>
      <c r="AM740" t="s">
        <v>1263</v>
      </c>
      <c r="AN740" t="s">
        <v>1264</v>
      </c>
      <c r="AO740" t="s">
        <v>1228</v>
      </c>
      <c r="AP740" t="s">
        <v>74</v>
      </c>
      <c r="AQ740" t="s">
        <v>74</v>
      </c>
      <c r="AR740" t="s">
        <v>1230</v>
      </c>
      <c r="AS740" t="s">
        <v>1231</v>
      </c>
      <c r="AT740" t="s">
        <v>11681</v>
      </c>
      <c r="AU740">
        <v>2007</v>
      </c>
      <c r="AV740">
        <v>39</v>
      </c>
      <c r="AW740">
        <v>1</v>
      </c>
      <c r="AX740" t="s">
        <v>74</v>
      </c>
      <c r="AY740" t="s">
        <v>74</v>
      </c>
      <c r="AZ740" t="s">
        <v>74</v>
      </c>
      <c r="BA740" t="s">
        <v>74</v>
      </c>
      <c r="BB740">
        <v>2</v>
      </c>
      <c r="BC740">
        <v>8</v>
      </c>
      <c r="BD740" t="s">
        <v>74</v>
      </c>
      <c r="BE740" t="s">
        <v>11723</v>
      </c>
      <c r="BF740" t="str">
        <f>HYPERLINK("http://dx.doi.org/10.1657/1523-0430(2007)39[2:UEVTPT]2.0.CO;2","http://dx.doi.org/10.1657/1523-0430(2007)39[2:UEVTPT]2.0.CO;2")</f>
        <v>http://dx.doi.org/10.1657/1523-0430(2007)39[2:UEVTPT]2.0.CO;2</v>
      </c>
      <c r="BG740" t="s">
        <v>74</v>
      </c>
      <c r="BH740" t="s">
        <v>74</v>
      </c>
      <c r="BI740">
        <v>7</v>
      </c>
      <c r="BJ740" t="s">
        <v>1233</v>
      </c>
      <c r="BK740" t="s">
        <v>745</v>
      </c>
      <c r="BL740" t="s">
        <v>1234</v>
      </c>
      <c r="BM740" t="s">
        <v>11709</v>
      </c>
      <c r="BN740" t="s">
        <v>74</v>
      </c>
      <c r="BO740" t="s">
        <v>1289</v>
      </c>
      <c r="BP740" t="s">
        <v>74</v>
      </c>
      <c r="BQ740" t="s">
        <v>74</v>
      </c>
      <c r="BR740" t="s">
        <v>101</v>
      </c>
      <c r="BS740" t="s">
        <v>11724</v>
      </c>
      <c r="BT740" t="str">
        <f>HYPERLINK("https%3A%2F%2Fwww.webofscience.com%2Fwos%2Fwoscc%2Ffull-record%2FWOS:000244658600002","View Full Record in Web of Science")</f>
        <v>View Full Record in Web of Science</v>
      </c>
    </row>
    <row r="741" spans="1:72" x14ac:dyDescent="0.15">
      <c r="A741" t="s">
        <v>72</v>
      </c>
      <c r="B741" t="s">
        <v>11725</v>
      </c>
      <c r="C741" t="s">
        <v>74</v>
      </c>
      <c r="D741" t="s">
        <v>74</v>
      </c>
      <c r="E741" t="s">
        <v>74</v>
      </c>
      <c r="F741" t="s">
        <v>11726</v>
      </c>
      <c r="G741" t="s">
        <v>74</v>
      </c>
      <c r="H741" t="s">
        <v>74</v>
      </c>
      <c r="I741" t="s">
        <v>11727</v>
      </c>
      <c r="J741" t="s">
        <v>1217</v>
      </c>
      <c r="K741" t="s">
        <v>74</v>
      </c>
      <c r="L741" t="s">
        <v>74</v>
      </c>
      <c r="M741" t="s">
        <v>78</v>
      </c>
      <c r="N741" t="s">
        <v>514</v>
      </c>
      <c r="O741" t="s">
        <v>11714</v>
      </c>
      <c r="P741" t="s">
        <v>11715</v>
      </c>
      <c r="Q741" t="s">
        <v>11716</v>
      </c>
      <c r="R741" t="s">
        <v>74</v>
      </c>
      <c r="S741" t="s">
        <v>74</v>
      </c>
      <c r="T741" t="s">
        <v>74</v>
      </c>
      <c r="U741" t="s">
        <v>11728</v>
      </c>
      <c r="V741" t="s">
        <v>11729</v>
      </c>
      <c r="W741" t="s">
        <v>11730</v>
      </c>
      <c r="X741" t="s">
        <v>11705</v>
      </c>
      <c r="Y741" t="s">
        <v>11731</v>
      </c>
      <c r="Z741" t="s">
        <v>11732</v>
      </c>
      <c r="AA741" t="s">
        <v>74</v>
      </c>
      <c r="AB741" t="s">
        <v>74</v>
      </c>
      <c r="AC741" t="s">
        <v>74</v>
      </c>
      <c r="AD741" t="s">
        <v>74</v>
      </c>
      <c r="AE741" t="s">
        <v>74</v>
      </c>
      <c r="AF741" t="s">
        <v>74</v>
      </c>
      <c r="AG741">
        <v>27</v>
      </c>
      <c r="AH741">
        <v>28</v>
      </c>
      <c r="AI741">
        <v>32</v>
      </c>
      <c r="AJ741">
        <v>0</v>
      </c>
      <c r="AK741">
        <v>25</v>
      </c>
      <c r="AL741" t="s">
        <v>1262</v>
      </c>
      <c r="AM741" t="s">
        <v>1263</v>
      </c>
      <c r="AN741" t="s">
        <v>1264</v>
      </c>
      <c r="AO741" t="s">
        <v>1228</v>
      </c>
      <c r="AP741" t="s">
        <v>74</v>
      </c>
      <c r="AQ741" t="s">
        <v>74</v>
      </c>
      <c r="AR741" t="s">
        <v>1230</v>
      </c>
      <c r="AS741" t="s">
        <v>1231</v>
      </c>
      <c r="AT741" t="s">
        <v>11681</v>
      </c>
      <c r="AU741">
        <v>2007</v>
      </c>
      <c r="AV741">
        <v>39</v>
      </c>
      <c r="AW741">
        <v>1</v>
      </c>
      <c r="AX741" t="s">
        <v>74</v>
      </c>
      <c r="AY741" t="s">
        <v>74</v>
      </c>
      <c r="AZ741" t="s">
        <v>74</v>
      </c>
      <c r="BA741" t="s">
        <v>74</v>
      </c>
      <c r="BB741">
        <v>9</v>
      </c>
      <c r="BC741">
        <v>15</v>
      </c>
      <c r="BD741" t="s">
        <v>74</v>
      </c>
      <c r="BE741" t="s">
        <v>74</v>
      </c>
      <c r="BF741" t="s">
        <v>74</v>
      </c>
      <c r="BG741" t="s">
        <v>74</v>
      </c>
      <c r="BH741" t="s">
        <v>74</v>
      </c>
      <c r="BI741">
        <v>7</v>
      </c>
      <c r="BJ741" t="s">
        <v>1233</v>
      </c>
      <c r="BK741" t="s">
        <v>745</v>
      </c>
      <c r="BL741" t="s">
        <v>1234</v>
      </c>
      <c r="BM741" t="s">
        <v>11709</v>
      </c>
      <c r="BN741" t="s">
        <v>74</v>
      </c>
      <c r="BO741" t="s">
        <v>797</v>
      </c>
      <c r="BP741" t="s">
        <v>74</v>
      </c>
      <c r="BQ741" t="s">
        <v>74</v>
      </c>
      <c r="BR741" t="s">
        <v>101</v>
      </c>
      <c r="BS741" t="s">
        <v>11733</v>
      </c>
      <c r="BT741" t="str">
        <f>HYPERLINK("https%3A%2F%2Fwww.webofscience.com%2Fwos%2Fwoscc%2Ffull-record%2FWOS:000244658600003","View Full Record in Web of Science")</f>
        <v>View Full Record in Web of Science</v>
      </c>
    </row>
    <row r="742" spans="1:72" x14ac:dyDescent="0.15">
      <c r="A742" t="s">
        <v>72</v>
      </c>
      <c r="B742" t="s">
        <v>11734</v>
      </c>
      <c r="C742" t="s">
        <v>74</v>
      </c>
      <c r="D742" t="s">
        <v>74</v>
      </c>
      <c r="E742" t="s">
        <v>74</v>
      </c>
      <c r="F742" t="s">
        <v>11735</v>
      </c>
      <c r="G742" t="s">
        <v>74</v>
      </c>
      <c r="H742" t="s">
        <v>74</v>
      </c>
      <c r="I742" t="s">
        <v>11736</v>
      </c>
      <c r="J742" t="s">
        <v>1217</v>
      </c>
      <c r="K742" t="s">
        <v>74</v>
      </c>
      <c r="L742" t="s">
        <v>74</v>
      </c>
      <c r="M742" t="s">
        <v>78</v>
      </c>
      <c r="N742" t="s">
        <v>514</v>
      </c>
      <c r="O742" t="s">
        <v>11714</v>
      </c>
      <c r="P742" t="s">
        <v>11715</v>
      </c>
      <c r="Q742" t="s">
        <v>11716</v>
      </c>
      <c r="R742" t="s">
        <v>74</v>
      </c>
      <c r="S742" t="s">
        <v>74</v>
      </c>
      <c r="T742" t="s">
        <v>74</v>
      </c>
      <c r="U742" t="s">
        <v>11737</v>
      </c>
      <c r="V742" t="s">
        <v>11738</v>
      </c>
      <c r="W742" t="s">
        <v>11739</v>
      </c>
      <c r="X742" t="s">
        <v>11705</v>
      </c>
      <c r="Y742" t="s">
        <v>11740</v>
      </c>
      <c r="Z742" t="s">
        <v>11741</v>
      </c>
      <c r="AA742" t="s">
        <v>74</v>
      </c>
      <c r="AB742" t="s">
        <v>74</v>
      </c>
      <c r="AC742" t="s">
        <v>74</v>
      </c>
      <c r="AD742" t="s">
        <v>74</v>
      </c>
      <c r="AE742" t="s">
        <v>74</v>
      </c>
      <c r="AF742" t="s">
        <v>74</v>
      </c>
      <c r="AG742">
        <v>50</v>
      </c>
      <c r="AH742">
        <v>6</v>
      </c>
      <c r="AI742">
        <v>8</v>
      </c>
      <c r="AJ742">
        <v>2</v>
      </c>
      <c r="AK742">
        <v>22</v>
      </c>
      <c r="AL742" t="s">
        <v>1262</v>
      </c>
      <c r="AM742" t="s">
        <v>1263</v>
      </c>
      <c r="AN742" t="s">
        <v>1264</v>
      </c>
      <c r="AO742" t="s">
        <v>1228</v>
      </c>
      <c r="AP742" t="s">
        <v>74</v>
      </c>
      <c r="AQ742" t="s">
        <v>74</v>
      </c>
      <c r="AR742" t="s">
        <v>1230</v>
      </c>
      <c r="AS742" t="s">
        <v>1231</v>
      </c>
      <c r="AT742" t="s">
        <v>11681</v>
      </c>
      <c r="AU742">
        <v>2007</v>
      </c>
      <c r="AV742">
        <v>39</v>
      </c>
      <c r="AW742">
        <v>1</v>
      </c>
      <c r="AX742" t="s">
        <v>74</v>
      </c>
      <c r="AY742" t="s">
        <v>74</v>
      </c>
      <c r="AZ742" t="s">
        <v>74</v>
      </c>
      <c r="BA742" t="s">
        <v>74</v>
      </c>
      <c r="BB742">
        <v>16</v>
      </c>
      <c r="BC742">
        <v>24</v>
      </c>
      <c r="BD742" t="s">
        <v>74</v>
      </c>
      <c r="BE742" t="s">
        <v>11742</v>
      </c>
      <c r="BF742" t="str">
        <f>HYPERLINK("http://dx.doi.org/10.1657/1523-0430(2007)39[16:SRPOGH]2.0.CO;2","http://dx.doi.org/10.1657/1523-0430(2007)39[16:SRPOGH]2.0.CO;2")</f>
        <v>http://dx.doi.org/10.1657/1523-0430(2007)39[16:SRPOGH]2.0.CO;2</v>
      </c>
      <c r="BG742" t="s">
        <v>74</v>
      </c>
      <c r="BH742" t="s">
        <v>74</v>
      </c>
      <c r="BI742">
        <v>9</v>
      </c>
      <c r="BJ742" t="s">
        <v>1233</v>
      </c>
      <c r="BK742" t="s">
        <v>745</v>
      </c>
      <c r="BL742" t="s">
        <v>1234</v>
      </c>
      <c r="BM742" t="s">
        <v>11709</v>
      </c>
      <c r="BN742" t="s">
        <v>74</v>
      </c>
      <c r="BO742" t="s">
        <v>1249</v>
      </c>
      <c r="BP742" t="s">
        <v>74</v>
      </c>
      <c r="BQ742" t="s">
        <v>74</v>
      </c>
      <c r="BR742" t="s">
        <v>101</v>
      </c>
      <c r="BS742" t="s">
        <v>11743</v>
      </c>
      <c r="BT742" t="str">
        <f>HYPERLINK("https%3A%2F%2Fwww.webofscience.com%2Fwos%2Fwoscc%2Ffull-record%2FWOS:000244658600004","View Full Record in Web of Science")</f>
        <v>View Full Record in Web of Science</v>
      </c>
    </row>
    <row r="743" spans="1:72" x14ac:dyDescent="0.15">
      <c r="A743" t="s">
        <v>72</v>
      </c>
      <c r="B743" t="s">
        <v>11744</v>
      </c>
      <c r="C743" t="s">
        <v>74</v>
      </c>
      <c r="D743" t="s">
        <v>74</v>
      </c>
      <c r="E743" t="s">
        <v>74</v>
      </c>
      <c r="F743" t="s">
        <v>11745</v>
      </c>
      <c r="G743" t="s">
        <v>74</v>
      </c>
      <c r="H743" t="s">
        <v>74</v>
      </c>
      <c r="I743" t="s">
        <v>11746</v>
      </c>
      <c r="J743" t="s">
        <v>1217</v>
      </c>
      <c r="K743" t="s">
        <v>74</v>
      </c>
      <c r="L743" t="s">
        <v>74</v>
      </c>
      <c r="M743" t="s">
        <v>78</v>
      </c>
      <c r="N743" t="s">
        <v>79</v>
      </c>
      <c r="O743" t="s">
        <v>74</v>
      </c>
      <c r="P743" t="s">
        <v>74</v>
      </c>
      <c r="Q743" t="s">
        <v>74</v>
      </c>
      <c r="R743" t="s">
        <v>74</v>
      </c>
      <c r="S743" t="s">
        <v>74</v>
      </c>
      <c r="T743" t="s">
        <v>74</v>
      </c>
      <c r="U743" t="s">
        <v>11747</v>
      </c>
      <c r="V743" t="s">
        <v>11748</v>
      </c>
      <c r="W743" t="s">
        <v>11749</v>
      </c>
      <c r="X743" t="s">
        <v>74</v>
      </c>
      <c r="Y743" t="s">
        <v>11750</v>
      </c>
      <c r="Z743" t="s">
        <v>11751</v>
      </c>
      <c r="AA743" t="s">
        <v>11752</v>
      </c>
      <c r="AB743" t="s">
        <v>11753</v>
      </c>
      <c r="AC743" t="s">
        <v>74</v>
      </c>
      <c r="AD743" t="s">
        <v>74</v>
      </c>
      <c r="AE743" t="s">
        <v>74</v>
      </c>
      <c r="AF743" t="s">
        <v>74</v>
      </c>
      <c r="AG743">
        <v>68</v>
      </c>
      <c r="AH743">
        <v>49</v>
      </c>
      <c r="AI743">
        <v>52</v>
      </c>
      <c r="AJ743">
        <v>8</v>
      </c>
      <c r="AK743">
        <v>60</v>
      </c>
      <c r="AL743" t="s">
        <v>1225</v>
      </c>
      <c r="AM743" t="s">
        <v>1226</v>
      </c>
      <c r="AN743" t="s">
        <v>1227</v>
      </c>
      <c r="AO743" t="s">
        <v>1228</v>
      </c>
      <c r="AP743" t="s">
        <v>1229</v>
      </c>
      <c r="AQ743" t="s">
        <v>74</v>
      </c>
      <c r="AR743" t="s">
        <v>1230</v>
      </c>
      <c r="AS743" t="s">
        <v>1231</v>
      </c>
      <c r="AT743" t="s">
        <v>11681</v>
      </c>
      <c r="AU743">
        <v>2007</v>
      </c>
      <c r="AV743">
        <v>39</v>
      </c>
      <c r="AW743">
        <v>1</v>
      </c>
      <c r="AX743" t="s">
        <v>74</v>
      </c>
      <c r="AY743" t="s">
        <v>74</v>
      </c>
      <c r="AZ743" t="s">
        <v>74</v>
      </c>
      <c r="BA743" t="s">
        <v>74</v>
      </c>
      <c r="BB743">
        <v>25</v>
      </c>
      <c r="BC743">
        <v>33</v>
      </c>
      <c r="BD743" t="s">
        <v>74</v>
      </c>
      <c r="BE743" t="s">
        <v>11754</v>
      </c>
      <c r="BF743" t="str">
        <f>HYPERLINK("http://dx.doi.org/10.1657/1523-0430(2007)39[25:IBVRAS]2.0.CO;2","http://dx.doi.org/10.1657/1523-0430(2007)39[25:IBVRAS]2.0.CO;2")</f>
        <v>http://dx.doi.org/10.1657/1523-0430(2007)39[25:IBVRAS]2.0.CO;2</v>
      </c>
      <c r="BG743" t="s">
        <v>74</v>
      </c>
      <c r="BH743" t="s">
        <v>74</v>
      </c>
      <c r="BI743">
        <v>9</v>
      </c>
      <c r="BJ743" t="s">
        <v>1233</v>
      </c>
      <c r="BK743" t="s">
        <v>98</v>
      </c>
      <c r="BL743" t="s">
        <v>1234</v>
      </c>
      <c r="BM743" t="s">
        <v>11709</v>
      </c>
      <c r="BN743" t="s">
        <v>74</v>
      </c>
      <c r="BO743" t="s">
        <v>1249</v>
      </c>
      <c r="BP743" t="s">
        <v>74</v>
      </c>
      <c r="BQ743" t="s">
        <v>74</v>
      </c>
      <c r="BR743" t="s">
        <v>101</v>
      </c>
      <c r="BS743" t="s">
        <v>11755</v>
      </c>
      <c r="BT743" t="str">
        <f>HYPERLINK("https%3A%2F%2Fwww.webofscience.com%2Fwos%2Fwoscc%2Ffull-record%2FWOS:000244658600005","View Full Record in Web of Science")</f>
        <v>View Full Record in Web of Science</v>
      </c>
    </row>
    <row r="744" spans="1:72" x14ac:dyDescent="0.15">
      <c r="A744" t="s">
        <v>72</v>
      </c>
      <c r="B744" t="s">
        <v>11756</v>
      </c>
      <c r="C744" t="s">
        <v>74</v>
      </c>
      <c r="D744" t="s">
        <v>74</v>
      </c>
      <c r="E744" t="s">
        <v>74</v>
      </c>
      <c r="F744" t="s">
        <v>11757</v>
      </c>
      <c r="G744" t="s">
        <v>74</v>
      </c>
      <c r="H744" t="s">
        <v>74</v>
      </c>
      <c r="I744" t="s">
        <v>11758</v>
      </c>
      <c r="J744" t="s">
        <v>1217</v>
      </c>
      <c r="K744" t="s">
        <v>74</v>
      </c>
      <c r="L744" t="s">
        <v>74</v>
      </c>
      <c r="M744" t="s">
        <v>78</v>
      </c>
      <c r="N744" t="s">
        <v>79</v>
      </c>
      <c r="O744" t="s">
        <v>74</v>
      </c>
      <c r="P744" t="s">
        <v>74</v>
      </c>
      <c r="Q744" t="s">
        <v>74</v>
      </c>
      <c r="R744" t="s">
        <v>74</v>
      </c>
      <c r="S744" t="s">
        <v>74</v>
      </c>
      <c r="T744" t="s">
        <v>74</v>
      </c>
      <c r="U744" t="s">
        <v>11759</v>
      </c>
      <c r="V744" t="s">
        <v>11760</v>
      </c>
      <c r="W744" t="s">
        <v>11761</v>
      </c>
      <c r="X744" t="s">
        <v>11762</v>
      </c>
      <c r="Y744" t="s">
        <v>11763</v>
      </c>
      <c r="Z744" t="s">
        <v>11764</v>
      </c>
      <c r="AA744" t="s">
        <v>11765</v>
      </c>
      <c r="AB744" t="s">
        <v>11766</v>
      </c>
      <c r="AC744" t="s">
        <v>74</v>
      </c>
      <c r="AD744" t="s">
        <v>74</v>
      </c>
      <c r="AE744" t="s">
        <v>74</v>
      </c>
      <c r="AF744" t="s">
        <v>74</v>
      </c>
      <c r="AG744">
        <v>88</v>
      </c>
      <c r="AH744">
        <v>159</v>
      </c>
      <c r="AI744">
        <v>175</v>
      </c>
      <c r="AJ744">
        <v>1</v>
      </c>
      <c r="AK744">
        <v>136</v>
      </c>
      <c r="AL744" t="s">
        <v>1225</v>
      </c>
      <c r="AM744" t="s">
        <v>1226</v>
      </c>
      <c r="AN744" t="s">
        <v>1227</v>
      </c>
      <c r="AO744" t="s">
        <v>1228</v>
      </c>
      <c r="AP744" t="s">
        <v>1229</v>
      </c>
      <c r="AQ744" t="s">
        <v>74</v>
      </c>
      <c r="AR744" t="s">
        <v>1230</v>
      </c>
      <c r="AS744" t="s">
        <v>1231</v>
      </c>
      <c r="AT744" t="s">
        <v>11681</v>
      </c>
      <c r="AU744">
        <v>2007</v>
      </c>
      <c r="AV744">
        <v>39</v>
      </c>
      <c r="AW744">
        <v>1</v>
      </c>
      <c r="AX744" t="s">
        <v>74</v>
      </c>
      <c r="AY744" t="s">
        <v>74</v>
      </c>
      <c r="AZ744" t="s">
        <v>74</v>
      </c>
      <c r="BA744" t="s">
        <v>74</v>
      </c>
      <c r="BB744">
        <v>34</v>
      </c>
      <c r="BC744">
        <v>43</v>
      </c>
      <c r="BD744" t="s">
        <v>74</v>
      </c>
      <c r="BE744" t="s">
        <v>11767</v>
      </c>
      <c r="BF744" t="str">
        <f>HYPERLINK("http://dx.doi.org/10.1657/1523-0430(2007)39[34:EOASAT]2.0.CO;2","http://dx.doi.org/10.1657/1523-0430(2007)39[34:EOASAT]2.0.CO;2")</f>
        <v>http://dx.doi.org/10.1657/1523-0430(2007)39[34:EOASAT]2.0.CO;2</v>
      </c>
      <c r="BG744" t="s">
        <v>74</v>
      </c>
      <c r="BH744" t="s">
        <v>74</v>
      </c>
      <c r="BI744">
        <v>10</v>
      </c>
      <c r="BJ744" t="s">
        <v>1233</v>
      </c>
      <c r="BK744" t="s">
        <v>98</v>
      </c>
      <c r="BL744" t="s">
        <v>1234</v>
      </c>
      <c r="BM744" t="s">
        <v>11709</v>
      </c>
      <c r="BN744" t="s">
        <v>74</v>
      </c>
      <c r="BO744" t="s">
        <v>1249</v>
      </c>
      <c r="BP744" t="s">
        <v>74</v>
      </c>
      <c r="BQ744" t="s">
        <v>74</v>
      </c>
      <c r="BR744" t="s">
        <v>101</v>
      </c>
      <c r="BS744" t="s">
        <v>11768</v>
      </c>
      <c r="BT744" t="str">
        <f>HYPERLINK("https%3A%2F%2Fwww.webofscience.com%2Fwos%2Fwoscc%2Ffull-record%2FWOS:000244658600006","View Full Record in Web of Science")</f>
        <v>View Full Record in Web of Science</v>
      </c>
    </row>
    <row r="745" spans="1:72" x14ac:dyDescent="0.15">
      <c r="A745" t="s">
        <v>72</v>
      </c>
      <c r="B745" t="s">
        <v>11769</v>
      </c>
      <c r="C745" t="s">
        <v>74</v>
      </c>
      <c r="D745" t="s">
        <v>74</v>
      </c>
      <c r="E745" t="s">
        <v>74</v>
      </c>
      <c r="F745" t="s">
        <v>11770</v>
      </c>
      <c r="G745" t="s">
        <v>74</v>
      </c>
      <c r="H745" t="s">
        <v>74</v>
      </c>
      <c r="I745" t="s">
        <v>11771</v>
      </c>
      <c r="J745" t="s">
        <v>1217</v>
      </c>
      <c r="K745" t="s">
        <v>74</v>
      </c>
      <c r="L745" t="s">
        <v>74</v>
      </c>
      <c r="M745" t="s">
        <v>78</v>
      </c>
      <c r="N745" t="s">
        <v>79</v>
      </c>
      <c r="O745" t="s">
        <v>74</v>
      </c>
      <c r="P745" t="s">
        <v>74</v>
      </c>
      <c r="Q745" t="s">
        <v>74</v>
      </c>
      <c r="R745" t="s">
        <v>74</v>
      </c>
      <c r="S745" t="s">
        <v>74</v>
      </c>
      <c r="T745" t="s">
        <v>74</v>
      </c>
      <c r="U745" t="s">
        <v>11772</v>
      </c>
      <c r="V745" t="s">
        <v>11773</v>
      </c>
      <c r="W745" t="s">
        <v>11774</v>
      </c>
      <c r="X745" t="s">
        <v>11775</v>
      </c>
      <c r="Y745" t="s">
        <v>11776</v>
      </c>
      <c r="Z745" t="s">
        <v>11777</v>
      </c>
      <c r="AA745" t="s">
        <v>74</v>
      </c>
      <c r="AB745" t="s">
        <v>74</v>
      </c>
      <c r="AC745" t="s">
        <v>74</v>
      </c>
      <c r="AD745" t="s">
        <v>74</v>
      </c>
      <c r="AE745" t="s">
        <v>74</v>
      </c>
      <c r="AF745" t="s">
        <v>74</v>
      </c>
      <c r="AG745">
        <v>94</v>
      </c>
      <c r="AH745">
        <v>5</v>
      </c>
      <c r="AI745">
        <v>12</v>
      </c>
      <c r="AJ745">
        <v>0</v>
      </c>
      <c r="AK745">
        <v>12</v>
      </c>
      <c r="AL745" t="s">
        <v>1225</v>
      </c>
      <c r="AM745" t="s">
        <v>1226</v>
      </c>
      <c r="AN745" t="s">
        <v>1227</v>
      </c>
      <c r="AO745" t="s">
        <v>1228</v>
      </c>
      <c r="AP745" t="s">
        <v>1229</v>
      </c>
      <c r="AQ745" t="s">
        <v>74</v>
      </c>
      <c r="AR745" t="s">
        <v>1230</v>
      </c>
      <c r="AS745" t="s">
        <v>1231</v>
      </c>
      <c r="AT745" t="s">
        <v>11681</v>
      </c>
      <c r="AU745">
        <v>2007</v>
      </c>
      <c r="AV745">
        <v>39</v>
      </c>
      <c r="AW745">
        <v>1</v>
      </c>
      <c r="AX745" t="s">
        <v>74</v>
      </c>
      <c r="AY745" t="s">
        <v>74</v>
      </c>
      <c r="AZ745" t="s">
        <v>74</v>
      </c>
      <c r="BA745" t="s">
        <v>74</v>
      </c>
      <c r="BB745">
        <v>44</v>
      </c>
      <c r="BC745">
        <v>56</v>
      </c>
      <c r="BD745" t="s">
        <v>74</v>
      </c>
      <c r="BE745" t="s">
        <v>11778</v>
      </c>
      <c r="BF745" t="str">
        <f>HYPERLINK("http://dx.doi.org/10.1657/1523-0430(2007)39[44:TWAHAT]2.0.CO;2","http://dx.doi.org/10.1657/1523-0430(2007)39[44:TWAHAT]2.0.CO;2")</f>
        <v>http://dx.doi.org/10.1657/1523-0430(2007)39[44:TWAHAT]2.0.CO;2</v>
      </c>
      <c r="BG745" t="s">
        <v>74</v>
      </c>
      <c r="BH745" t="s">
        <v>74</v>
      </c>
      <c r="BI745">
        <v>13</v>
      </c>
      <c r="BJ745" t="s">
        <v>1233</v>
      </c>
      <c r="BK745" t="s">
        <v>1576</v>
      </c>
      <c r="BL745" t="s">
        <v>1234</v>
      </c>
      <c r="BM745" t="s">
        <v>11709</v>
      </c>
      <c r="BN745" t="s">
        <v>74</v>
      </c>
      <c r="BO745" t="s">
        <v>1249</v>
      </c>
      <c r="BP745" t="s">
        <v>74</v>
      </c>
      <c r="BQ745" t="s">
        <v>74</v>
      </c>
      <c r="BR745" t="s">
        <v>101</v>
      </c>
      <c r="BS745" t="s">
        <v>11779</v>
      </c>
      <c r="BT745" t="str">
        <f>HYPERLINK("https%3A%2F%2Fwww.webofscience.com%2Fwos%2Fwoscc%2Ffull-record%2FWOS:000244658600007","View Full Record in Web of Science")</f>
        <v>View Full Record in Web of Science</v>
      </c>
    </row>
    <row r="746" spans="1:72" x14ac:dyDescent="0.15">
      <c r="A746" t="s">
        <v>72</v>
      </c>
      <c r="B746" t="s">
        <v>11780</v>
      </c>
      <c r="C746" t="s">
        <v>74</v>
      </c>
      <c r="D746" t="s">
        <v>74</v>
      </c>
      <c r="E746" t="s">
        <v>74</v>
      </c>
      <c r="F746" t="s">
        <v>11781</v>
      </c>
      <c r="G746" t="s">
        <v>74</v>
      </c>
      <c r="H746" t="s">
        <v>74</v>
      </c>
      <c r="I746" t="s">
        <v>11782</v>
      </c>
      <c r="J746" t="s">
        <v>1217</v>
      </c>
      <c r="K746" t="s">
        <v>74</v>
      </c>
      <c r="L746" t="s">
        <v>74</v>
      </c>
      <c r="M746" t="s">
        <v>78</v>
      </c>
      <c r="N746" t="s">
        <v>79</v>
      </c>
      <c r="O746" t="s">
        <v>74</v>
      </c>
      <c r="P746" t="s">
        <v>74</v>
      </c>
      <c r="Q746" t="s">
        <v>74</v>
      </c>
      <c r="R746" t="s">
        <v>74</v>
      </c>
      <c r="S746" t="s">
        <v>74</v>
      </c>
      <c r="T746" t="s">
        <v>74</v>
      </c>
      <c r="U746" t="s">
        <v>11783</v>
      </c>
      <c r="V746" t="s">
        <v>11784</v>
      </c>
      <c r="W746" t="s">
        <v>11785</v>
      </c>
      <c r="X746" t="s">
        <v>11786</v>
      </c>
      <c r="Y746" t="s">
        <v>11787</v>
      </c>
      <c r="Z746" t="s">
        <v>11788</v>
      </c>
      <c r="AA746" t="s">
        <v>74</v>
      </c>
      <c r="AB746" t="s">
        <v>74</v>
      </c>
      <c r="AC746" t="s">
        <v>74</v>
      </c>
      <c r="AD746" t="s">
        <v>74</v>
      </c>
      <c r="AE746" t="s">
        <v>74</v>
      </c>
      <c r="AF746" t="s">
        <v>74</v>
      </c>
      <c r="AG746">
        <v>56</v>
      </c>
      <c r="AH746">
        <v>21</v>
      </c>
      <c r="AI746">
        <v>24</v>
      </c>
      <c r="AJ746">
        <v>2</v>
      </c>
      <c r="AK746">
        <v>28</v>
      </c>
      <c r="AL746" t="s">
        <v>1225</v>
      </c>
      <c r="AM746" t="s">
        <v>1226</v>
      </c>
      <c r="AN746" t="s">
        <v>1227</v>
      </c>
      <c r="AO746" t="s">
        <v>1228</v>
      </c>
      <c r="AP746" t="s">
        <v>1229</v>
      </c>
      <c r="AQ746" t="s">
        <v>74</v>
      </c>
      <c r="AR746" t="s">
        <v>1230</v>
      </c>
      <c r="AS746" t="s">
        <v>1231</v>
      </c>
      <c r="AT746" t="s">
        <v>11681</v>
      </c>
      <c r="AU746">
        <v>2007</v>
      </c>
      <c r="AV746">
        <v>39</v>
      </c>
      <c r="AW746">
        <v>1</v>
      </c>
      <c r="AX746" t="s">
        <v>74</v>
      </c>
      <c r="AY746" t="s">
        <v>74</v>
      </c>
      <c r="AZ746" t="s">
        <v>74</v>
      </c>
      <c r="BA746" t="s">
        <v>74</v>
      </c>
      <c r="BB746">
        <v>57</v>
      </c>
      <c r="BC746">
        <v>64</v>
      </c>
      <c r="BD746" t="s">
        <v>74</v>
      </c>
      <c r="BE746" t="s">
        <v>11789</v>
      </c>
      <c r="BF746" t="str">
        <f>HYPERLINK("http://dx.doi.org/10.1657/1523-0430(2007)39[57:NEOAWS]2.0.CO;2","http://dx.doi.org/10.1657/1523-0430(2007)39[57:NEOAWS]2.0.CO;2")</f>
        <v>http://dx.doi.org/10.1657/1523-0430(2007)39[57:NEOAWS]2.0.CO;2</v>
      </c>
      <c r="BG746" t="s">
        <v>74</v>
      </c>
      <c r="BH746" t="s">
        <v>74</v>
      </c>
      <c r="BI746">
        <v>8</v>
      </c>
      <c r="BJ746" t="s">
        <v>1233</v>
      </c>
      <c r="BK746" t="s">
        <v>98</v>
      </c>
      <c r="BL746" t="s">
        <v>1234</v>
      </c>
      <c r="BM746" t="s">
        <v>11709</v>
      </c>
      <c r="BN746" t="s">
        <v>74</v>
      </c>
      <c r="BO746" t="s">
        <v>1249</v>
      </c>
      <c r="BP746" t="s">
        <v>74</v>
      </c>
      <c r="BQ746" t="s">
        <v>74</v>
      </c>
      <c r="BR746" t="s">
        <v>101</v>
      </c>
      <c r="BS746" t="s">
        <v>11790</v>
      </c>
      <c r="BT746" t="str">
        <f>HYPERLINK("https%3A%2F%2Fwww.webofscience.com%2Fwos%2Fwoscc%2Ffull-record%2FWOS:000244658600008","View Full Record in Web of Science")</f>
        <v>View Full Record in Web of Science</v>
      </c>
    </row>
    <row r="747" spans="1:72" x14ac:dyDescent="0.15">
      <c r="A747" t="s">
        <v>72</v>
      </c>
      <c r="B747" t="s">
        <v>11791</v>
      </c>
      <c r="C747" t="s">
        <v>74</v>
      </c>
      <c r="D747" t="s">
        <v>74</v>
      </c>
      <c r="E747" t="s">
        <v>74</v>
      </c>
      <c r="F747" t="s">
        <v>11792</v>
      </c>
      <c r="G747" t="s">
        <v>74</v>
      </c>
      <c r="H747" t="s">
        <v>74</v>
      </c>
      <c r="I747" t="s">
        <v>11793</v>
      </c>
      <c r="J747" t="s">
        <v>1217</v>
      </c>
      <c r="K747" t="s">
        <v>74</v>
      </c>
      <c r="L747" t="s">
        <v>74</v>
      </c>
      <c r="M747" t="s">
        <v>78</v>
      </c>
      <c r="N747" t="s">
        <v>79</v>
      </c>
      <c r="O747" t="s">
        <v>74</v>
      </c>
      <c r="P747" t="s">
        <v>74</v>
      </c>
      <c r="Q747" t="s">
        <v>74</v>
      </c>
      <c r="R747" t="s">
        <v>74</v>
      </c>
      <c r="S747" t="s">
        <v>74</v>
      </c>
      <c r="T747" t="s">
        <v>74</v>
      </c>
      <c r="U747" t="s">
        <v>11794</v>
      </c>
      <c r="V747" t="s">
        <v>11795</v>
      </c>
      <c r="W747" t="s">
        <v>11796</v>
      </c>
      <c r="X747" t="s">
        <v>11797</v>
      </c>
      <c r="Y747" t="s">
        <v>11798</v>
      </c>
      <c r="Z747" t="s">
        <v>11799</v>
      </c>
      <c r="AA747" t="s">
        <v>74</v>
      </c>
      <c r="AB747" t="s">
        <v>74</v>
      </c>
      <c r="AC747" t="s">
        <v>74</v>
      </c>
      <c r="AD747" t="s">
        <v>74</v>
      </c>
      <c r="AE747" t="s">
        <v>74</v>
      </c>
      <c r="AF747" t="s">
        <v>74</v>
      </c>
      <c r="AG747">
        <v>35</v>
      </c>
      <c r="AH747">
        <v>13</v>
      </c>
      <c r="AI747">
        <v>14</v>
      </c>
      <c r="AJ747">
        <v>1</v>
      </c>
      <c r="AK747">
        <v>8</v>
      </c>
      <c r="AL747" t="s">
        <v>1225</v>
      </c>
      <c r="AM747" t="s">
        <v>1226</v>
      </c>
      <c r="AN747" t="s">
        <v>1227</v>
      </c>
      <c r="AO747" t="s">
        <v>1228</v>
      </c>
      <c r="AP747" t="s">
        <v>1229</v>
      </c>
      <c r="AQ747" t="s">
        <v>74</v>
      </c>
      <c r="AR747" t="s">
        <v>1230</v>
      </c>
      <c r="AS747" t="s">
        <v>1231</v>
      </c>
      <c r="AT747" t="s">
        <v>11681</v>
      </c>
      <c r="AU747">
        <v>2007</v>
      </c>
      <c r="AV747">
        <v>39</v>
      </c>
      <c r="AW747">
        <v>1</v>
      </c>
      <c r="AX747" t="s">
        <v>74</v>
      </c>
      <c r="AY747" t="s">
        <v>74</v>
      </c>
      <c r="AZ747" t="s">
        <v>74</v>
      </c>
      <c r="BA747" t="s">
        <v>74</v>
      </c>
      <c r="BB747">
        <v>65</v>
      </c>
      <c r="BC747">
        <v>73</v>
      </c>
      <c r="BD747" t="s">
        <v>74</v>
      </c>
      <c r="BE747" t="s">
        <v>11800</v>
      </c>
      <c r="BF747" t="str">
        <f>HYPERLINK("http://dx.doi.org/10.1657/1523-0430(2007)39[65:TOPOTG]2.0.CO;2","http://dx.doi.org/10.1657/1523-0430(2007)39[65:TOPOTG]2.0.CO;2")</f>
        <v>http://dx.doi.org/10.1657/1523-0430(2007)39[65:TOPOTG]2.0.CO;2</v>
      </c>
      <c r="BG747" t="s">
        <v>74</v>
      </c>
      <c r="BH747" t="s">
        <v>74</v>
      </c>
      <c r="BI747">
        <v>9</v>
      </c>
      <c r="BJ747" t="s">
        <v>1233</v>
      </c>
      <c r="BK747" t="s">
        <v>98</v>
      </c>
      <c r="BL747" t="s">
        <v>1234</v>
      </c>
      <c r="BM747" t="s">
        <v>11709</v>
      </c>
      <c r="BN747" t="s">
        <v>74</v>
      </c>
      <c r="BO747" t="s">
        <v>1249</v>
      </c>
      <c r="BP747" t="s">
        <v>74</v>
      </c>
      <c r="BQ747" t="s">
        <v>74</v>
      </c>
      <c r="BR747" t="s">
        <v>101</v>
      </c>
      <c r="BS747" t="s">
        <v>11801</v>
      </c>
      <c r="BT747" t="str">
        <f>HYPERLINK("https%3A%2F%2Fwww.webofscience.com%2Fwos%2Fwoscc%2Ffull-record%2FWOS:000244658600009","View Full Record in Web of Science")</f>
        <v>View Full Record in Web of Science</v>
      </c>
    </row>
    <row r="748" spans="1:72" x14ac:dyDescent="0.15">
      <c r="A748" t="s">
        <v>72</v>
      </c>
      <c r="B748" t="s">
        <v>11802</v>
      </c>
      <c r="C748" t="s">
        <v>74</v>
      </c>
      <c r="D748" t="s">
        <v>74</v>
      </c>
      <c r="E748" t="s">
        <v>74</v>
      </c>
      <c r="F748" t="s">
        <v>11803</v>
      </c>
      <c r="G748" t="s">
        <v>74</v>
      </c>
      <c r="H748" t="s">
        <v>74</v>
      </c>
      <c r="I748" t="s">
        <v>11804</v>
      </c>
      <c r="J748" t="s">
        <v>1217</v>
      </c>
      <c r="K748" t="s">
        <v>74</v>
      </c>
      <c r="L748" t="s">
        <v>74</v>
      </c>
      <c r="M748" t="s">
        <v>78</v>
      </c>
      <c r="N748" t="s">
        <v>79</v>
      </c>
      <c r="O748" t="s">
        <v>74</v>
      </c>
      <c r="P748" t="s">
        <v>74</v>
      </c>
      <c r="Q748" t="s">
        <v>74</v>
      </c>
      <c r="R748" t="s">
        <v>74</v>
      </c>
      <c r="S748" t="s">
        <v>74</v>
      </c>
      <c r="T748" t="s">
        <v>74</v>
      </c>
      <c r="U748" t="s">
        <v>11805</v>
      </c>
      <c r="V748" t="s">
        <v>11806</v>
      </c>
      <c r="W748" t="s">
        <v>11807</v>
      </c>
      <c r="X748" t="s">
        <v>74</v>
      </c>
      <c r="Y748" t="s">
        <v>11808</v>
      </c>
      <c r="Z748" t="s">
        <v>11809</v>
      </c>
      <c r="AA748" t="s">
        <v>11810</v>
      </c>
      <c r="AB748" t="s">
        <v>74</v>
      </c>
      <c r="AC748" t="s">
        <v>74</v>
      </c>
      <c r="AD748" t="s">
        <v>74</v>
      </c>
      <c r="AE748" t="s">
        <v>74</v>
      </c>
      <c r="AF748" t="s">
        <v>74</v>
      </c>
      <c r="AG748">
        <v>53</v>
      </c>
      <c r="AH748">
        <v>35</v>
      </c>
      <c r="AI748">
        <v>46</v>
      </c>
      <c r="AJ748">
        <v>0</v>
      </c>
      <c r="AK748">
        <v>22</v>
      </c>
      <c r="AL748" t="s">
        <v>1262</v>
      </c>
      <c r="AM748" t="s">
        <v>1263</v>
      </c>
      <c r="AN748" t="s">
        <v>1264</v>
      </c>
      <c r="AO748" t="s">
        <v>1228</v>
      </c>
      <c r="AP748" t="s">
        <v>1229</v>
      </c>
      <c r="AQ748" t="s">
        <v>74</v>
      </c>
      <c r="AR748" t="s">
        <v>1230</v>
      </c>
      <c r="AS748" t="s">
        <v>1231</v>
      </c>
      <c r="AT748" t="s">
        <v>11681</v>
      </c>
      <c r="AU748">
        <v>2007</v>
      </c>
      <c r="AV748">
        <v>39</v>
      </c>
      <c r="AW748">
        <v>1</v>
      </c>
      <c r="AX748" t="s">
        <v>74</v>
      </c>
      <c r="AY748" t="s">
        <v>74</v>
      </c>
      <c r="AZ748" t="s">
        <v>74</v>
      </c>
      <c r="BA748" t="s">
        <v>74</v>
      </c>
      <c r="BB748">
        <v>74</v>
      </c>
      <c r="BC748">
        <v>83</v>
      </c>
      <c r="BD748" t="s">
        <v>74</v>
      </c>
      <c r="BE748" t="s">
        <v>11811</v>
      </c>
      <c r="BF748" t="str">
        <f>HYPERLINK("http://dx.doi.org/10.1657/1523-0430(2007)39[74:CFRRGD]2.0.CO;2","http://dx.doi.org/10.1657/1523-0430(2007)39[74:CFRRGD]2.0.CO;2")</f>
        <v>http://dx.doi.org/10.1657/1523-0430(2007)39[74:CFRRGD]2.0.CO;2</v>
      </c>
      <c r="BG748" t="s">
        <v>74</v>
      </c>
      <c r="BH748" t="s">
        <v>74</v>
      </c>
      <c r="BI748">
        <v>10</v>
      </c>
      <c r="BJ748" t="s">
        <v>1233</v>
      </c>
      <c r="BK748" t="s">
        <v>98</v>
      </c>
      <c r="BL748" t="s">
        <v>1234</v>
      </c>
      <c r="BM748" t="s">
        <v>11709</v>
      </c>
      <c r="BN748" t="s">
        <v>74</v>
      </c>
      <c r="BO748" t="s">
        <v>1249</v>
      </c>
      <c r="BP748" t="s">
        <v>74</v>
      </c>
      <c r="BQ748" t="s">
        <v>74</v>
      </c>
      <c r="BR748" t="s">
        <v>101</v>
      </c>
      <c r="BS748" t="s">
        <v>11812</v>
      </c>
      <c r="BT748" t="str">
        <f>HYPERLINK("https%3A%2F%2Fwww.webofscience.com%2Fwos%2Fwoscc%2Ffull-record%2FWOS:000244658600010","View Full Record in Web of Science")</f>
        <v>View Full Record in Web of Science</v>
      </c>
    </row>
    <row r="749" spans="1:72" x14ac:dyDescent="0.15">
      <c r="A749" t="s">
        <v>72</v>
      </c>
      <c r="B749" t="s">
        <v>11813</v>
      </c>
      <c r="C749" t="s">
        <v>74</v>
      </c>
      <c r="D749" t="s">
        <v>74</v>
      </c>
      <c r="E749" t="s">
        <v>74</v>
      </c>
      <c r="F749" t="s">
        <v>11814</v>
      </c>
      <c r="G749" t="s">
        <v>74</v>
      </c>
      <c r="H749" t="s">
        <v>74</v>
      </c>
      <c r="I749" t="s">
        <v>11815</v>
      </c>
      <c r="J749" t="s">
        <v>1217</v>
      </c>
      <c r="K749" t="s">
        <v>74</v>
      </c>
      <c r="L749" t="s">
        <v>74</v>
      </c>
      <c r="M749" t="s">
        <v>78</v>
      </c>
      <c r="N749" t="s">
        <v>79</v>
      </c>
      <c r="O749" t="s">
        <v>74</v>
      </c>
      <c r="P749" t="s">
        <v>74</v>
      </c>
      <c r="Q749" t="s">
        <v>74</v>
      </c>
      <c r="R749" t="s">
        <v>74</v>
      </c>
      <c r="S749" t="s">
        <v>74</v>
      </c>
      <c r="T749" t="s">
        <v>74</v>
      </c>
      <c r="U749" t="s">
        <v>11816</v>
      </c>
      <c r="V749" t="s">
        <v>11817</v>
      </c>
      <c r="W749" t="s">
        <v>11818</v>
      </c>
      <c r="X749" t="s">
        <v>11819</v>
      </c>
      <c r="Y749" t="s">
        <v>11820</v>
      </c>
      <c r="Z749" t="s">
        <v>11821</v>
      </c>
      <c r="AA749" t="s">
        <v>11822</v>
      </c>
      <c r="AB749" t="s">
        <v>11823</v>
      </c>
      <c r="AC749" t="s">
        <v>74</v>
      </c>
      <c r="AD749" t="s">
        <v>74</v>
      </c>
      <c r="AE749" t="s">
        <v>74</v>
      </c>
      <c r="AF749" t="s">
        <v>74</v>
      </c>
      <c r="AG749">
        <v>35</v>
      </c>
      <c r="AH749">
        <v>73</v>
      </c>
      <c r="AI749">
        <v>99</v>
      </c>
      <c r="AJ749">
        <v>0</v>
      </c>
      <c r="AK749">
        <v>44</v>
      </c>
      <c r="AL749" t="s">
        <v>1262</v>
      </c>
      <c r="AM749" t="s">
        <v>1263</v>
      </c>
      <c r="AN749" t="s">
        <v>1264</v>
      </c>
      <c r="AO749" t="s">
        <v>1228</v>
      </c>
      <c r="AP749" t="s">
        <v>1229</v>
      </c>
      <c r="AQ749" t="s">
        <v>74</v>
      </c>
      <c r="AR749" t="s">
        <v>1230</v>
      </c>
      <c r="AS749" t="s">
        <v>1231</v>
      </c>
      <c r="AT749" t="s">
        <v>11681</v>
      </c>
      <c r="AU749">
        <v>2007</v>
      </c>
      <c r="AV749">
        <v>39</v>
      </c>
      <c r="AW749">
        <v>1</v>
      </c>
      <c r="AX749" t="s">
        <v>74</v>
      </c>
      <c r="AY749" t="s">
        <v>74</v>
      </c>
      <c r="AZ749" t="s">
        <v>74</v>
      </c>
      <c r="BA749" t="s">
        <v>74</v>
      </c>
      <c r="BB749">
        <v>84</v>
      </c>
      <c r="BC749">
        <v>98</v>
      </c>
      <c r="BD749" t="s">
        <v>74</v>
      </c>
      <c r="BE749" t="s">
        <v>11824</v>
      </c>
      <c r="BF749" t="str">
        <f>HYPERLINK("http://dx.doi.org/10.1657/1523-0430(2007)39[84:GOSASO]2.0.CO;2","http://dx.doi.org/10.1657/1523-0430(2007)39[84:GOSASO]2.0.CO;2")</f>
        <v>http://dx.doi.org/10.1657/1523-0430(2007)39[84:GOSASO]2.0.CO;2</v>
      </c>
      <c r="BG749" t="s">
        <v>74</v>
      </c>
      <c r="BH749" t="s">
        <v>74</v>
      </c>
      <c r="BI749">
        <v>15</v>
      </c>
      <c r="BJ749" t="s">
        <v>1233</v>
      </c>
      <c r="BK749" t="s">
        <v>98</v>
      </c>
      <c r="BL749" t="s">
        <v>1234</v>
      </c>
      <c r="BM749" t="s">
        <v>11709</v>
      </c>
      <c r="BN749" t="s">
        <v>74</v>
      </c>
      <c r="BO749" t="s">
        <v>1249</v>
      </c>
      <c r="BP749" t="s">
        <v>74</v>
      </c>
      <c r="BQ749" t="s">
        <v>74</v>
      </c>
      <c r="BR749" t="s">
        <v>101</v>
      </c>
      <c r="BS749" t="s">
        <v>11825</v>
      </c>
      <c r="BT749" t="str">
        <f>HYPERLINK("https%3A%2F%2Fwww.webofscience.com%2Fwos%2Fwoscc%2Ffull-record%2FWOS:000244658600011","View Full Record in Web of Science")</f>
        <v>View Full Record in Web of Science</v>
      </c>
    </row>
    <row r="750" spans="1:72" x14ac:dyDescent="0.15">
      <c r="A750" t="s">
        <v>72</v>
      </c>
      <c r="B750" t="s">
        <v>11826</v>
      </c>
      <c r="C750" t="s">
        <v>74</v>
      </c>
      <c r="D750" t="s">
        <v>74</v>
      </c>
      <c r="E750" t="s">
        <v>74</v>
      </c>
      <c r="F750" t="s">
        <v>11827</v>
      </c>
      <c r="G750" t="s">
        <v>74</v>
      </c>
      <c r="H750" t="s">
        <v>74</v>
      </c>
      <c r="I750" t="s">
        <v>11828</v>
      </c>
      <c r="J750" t="s">
        <v>1217</v>
      </c>
      <c r="K750" t="s">
        <v>74</v>
      </c>
      <c r="L750" t="s">
        <v>74</v>
      </c>
      <c r="M750" t="s">
        <v>78</v>
      </c>
      <c r="N750" t="s">
        <v>79</v>
      </c>
      <c r="O750" t="s">
        <v>74</v>
      </c>
      <c r="P750" t="s">
        <v>74</v>
      </c>
      <c r="Q750" t="s">
        <v>74</v>
      </c>
      <c r="R750" t="s">
        <v>74</v>
      </c>
      <c r="S750" t="s">
        <v>74</v>
      </c>
      <c r="T750" t="s">
        <v>74</v>
      </c>
      <c r="U750" t="s">
        <v>11829</v>
      </c>
      <c r="V750" t="s">
        <v>11830</v>
      </c>
      <c r="W750" t="s">
        <v>11831</v>
      </c>
      <c r="X750" t="s">
        <v>11832</v>
      </c>
      <c r="Y750" t="s">
        <v>11833</v>
      </c>
      <c r="Z750" t="s">
        <v>11834</v>
      </c>
      <c r="AA750" t="s">
        <v>74</v>
      </c>
      <c r="AB750" t="s">
        <v>74</v>
      </c>
      <c r="AC750" t="s">
        <v>74</v>
      </c>
      <c r="AD750" t="s">
        <v>74</v>
      </c>
      <c r="AE750" t="s">
        <v>74</v>
      </c>
      <c r="AF750" t="s">
        <v>74</v>
      </c>
      <c r="AG750">
        <v>35</v>
      </c>
      <c r="AH750">
        <v>40</v>
      </c>
      <c r="AI750">
        <v>47</v>
      </c>
      <c r="AJ750">
        <v>3</v>
      </c>
      <c r="AK750">
        <v>33</v>
      </c>
      <c r="AL750" t="s">
        <v>1225</v>
      </c>
      <c r="AM750" t="s">
        <v>1226</v>
      </c>
      <c r="AN750" t="s">
        <v>1227</v>
      </c>
      <c r="AO750" t="s">
        <v>1228</v>
      </c>
      <c r="AP750" t="s">
        <v>1229</v>
      </c>
      <c r="AQ750" t="s">
        <v>74</v>
      </c>
      <c r="AR750" t="s">
        <v>1230</v>
      </c>
      <c r="AS750" t="s">
        <v>1231</v>
      </c>
      <c r="AT750" t="s">
        <v>11681</v>
      </c>
      <c r="AU750">
        <v>2007</v>
      </c>
      <c r="AV750">
        <v>39</v>
      </c>
      <c r="AW750">
        <v>1</v>
      </c>
      <c r="AX750" t="s">
        <v>74</v>
      </c>
      <c r="AY750" t="s">
        <v>74</v>
      </c>
      <c r="AZ750" t="s">
        <v>74</v>
      </c>
      <c r="BA750" t="s">
        <v>74</v>
      </c>
      <c r="BB750">
        <v>99</v>
      </c>
      <c r="BC750">
        <v>109</v>
      </c>
      <c r="BD750" t="s">
        <v>74</v>
      </c>
      <c r="BE750" t="s">
        <v>11835</v>
      </c>
      <c r="BF750" t="str">
        <f>HYPERLINK("http://dx.doi.org/10.1657/1523-0430(2007)39[99:TSADOE]2.0.CO;2","http://dx.doi.org/10.1657/1523-0430(2007)39[99:TSADOE]2.0.CO;2")</f>
        <v>http://dx.doi.org/10.1657/1523-0430(2007)39[99:TSADOE]2.0.CO;2</v>
      </c>
      <c r="BG750" t="s">
        <v>74</v>
      </c>
      <c r="BH750" t="s">
        <v>74</v>
      </c>
      <c r="BI750">
        <v>11</v>
      </c>
      <c r="BJ750" t="s">
        <v>1233</v>
      </c>
      <c r="BK750" t="s">
        <v>98</v>
      </c>
      <c r="BL750" t="s">
        <v>1234</v>
      </c>
      <c r="BM750" t="s">
        <v>11709</v>
      </c>
      <c r="BN750" t="s">
        <v>74</v>
      </c>
      <c r="BO750" t="s">
        <v>1249</v>
      </c>
      <c r="BP750" t="s">
        <v>74</v>
      </c>
      <c r="BQ750" t="s">
        <v>74</v>
      </c>
      <c r="BR750" t="s">
        <v>101</v>
      </c>
      <c r="BS750" t="s">
        <v>11836</v>
      </c>
      <c r="BT750" t="str">
        <f>HYPERLINK("https%3A%2F%2Fwww.webofscience.com%2Fwos%2Fwoscc%2Ffull-record%2FWOS:000244658600012","View Full Record in Web of Science")</f>
        <v>View Full Record in Web of Science</v>
      </c>
    </row>
    <row r="751" spans="1:72" x14ac:dyDescent="0.15">
      <c r="A751" t="s">
        <v>72</v>
      </c>
      <c r="B751" t="s">
        <v>11837</v>
      </c>
      <c r="C751" t="s">
        <v>74</v>
      </c>
      <c r="D751" t="s">
        <v>74</v>
      </c>
      <c r="E751" t="s">
        <v>74</v>
      </c>
      <c r="F751" t="s">
        <v>11838</v>
      </c>
      <c r="G751" t="s">
        <v>74</v>
      </c>
      <c r="H751" t="s">
        <v>74</v>
      </c>
      <c r="I751" t="s">
        <v>11839</v>
      </c>
      <c r="J751" t="s">
        <v>1217</v>
      </c>
      <c r="K751" t="s">
        <v>74</v>
      </c>
      <c r="L751" t="s">
        <v>74</v>
      </c>
      <c r="M751" t="s">
        <v>78</v>
      </c>
      <c r="N751" t="s">
        <v>79</v>
      </c>
      <c r="O751" t="s">
        <v>74</v>
      </c>
      <c r="P751" t="s">
        <v>74</v>
      </c>
      <c r="Q751" t="s">
        <v>74</v>
      </c>
      <c r="R751" t="s">
        <v>74</v>
      </c>
      <c r="S751" t="s">
        <v>74</v>
      </c>
      <c r="T751" t="s">
        <v>74</v>
      </c>
      <c r="U751" t="s">
        <v>11840</v>
      </c>
      <c r="V751" t="s">
        <v>11841</v>
      </c>
      <c r="W751" t="s">
        <v>11842</v>
      </c>
      <c r="X751" t="s">
        <v>11843</v>
      </c>
      <c r="Y751" t="s">
        <v>11844</v>
      </c>
      <c r="Z751" t="s">
        <v>11845</v>
      </c>
      <c r="AA751" t="s">
        <v>74</v>
      </c>
      <c r="AB751" t="s">
        <v>11846</v>
      </c>
      <c r="AC751" t="s">
        <v>74</v>
      </c>
      <c r="AD751" t="s">
        <v>74</v>
      </c>
      <c r="AE751" t="s">
        <v>74</v>
      </c>
      <c r="AF751" t="s">
        <v>74</v>
      </c>
      <c r="AG751">
        <v>60</v>
      </c>
      <c r="AH751">
        <v>20</v>
      </c>
      <c r="AI751">
        <v>24</v>
      </c>
      <c r="AJ751">
        <v>1</v>
      </c>
      <c r="AK751">
        <v>18</v>
      </c>
      <c r="AL751" t="s">
        <v>1262</v>
      </c>
      <c r="AM751" t="s">
        <v>1263</v>
      </c>
      <c r="AN751" t="s">
        <v>1264</v>
      </c>
      <c r="AO751" t="s">
        <v>1228</v>
      </c>
      <c r="AP751" t="s">
        <v>1229</v>
      </c>
      <c r="AQ751" t="s">
        <v>74</v>
      </c>
      <c r="AR751" t="s">
        <v>1230</v>
      </c>
      <c r="AS751" t="s">
        <v>1231</v>
      </c>
      <c r="AT751" t="s">
        <v>11681</v>
      </c>
      <c r="AU751">
        <v>2007</v>
      </c>
      <c r="AV751">
        <v>39</v>
      </c>
      <c r="AW751">
        <v>1</v>
      </c>
      <c r="AX751" t="s">
        <v>74</v>
      </c>
      <c r="AY751" t="s">
        <v>74</v>
      </c>
      <c r="AZ751" t="s">
        <v>74</v>
      </c>
      <c r="BA751" t="s">
        <v>74</v>
      </c>
      <c r="BB751">
        <v>110</v>
      </c>
      <c r="BC751">
        <v>116</v>
      </c>
      <c r="BD751" t="s">
        <v>74</v>
      </c>
      <c r="BE751" t="s">
        <v>11847</v>
      </c>
      <c r="BF751" t="str">
        <f>HYPERLINK("http://dx.doi.org/10.1657/1523-0430(2007)39[110:EOHADB]2.0.CO;2","http://dx.doi.org/10.1657/1523-0430(2007)39[110:EOHADB]2.0.CO;2")</f>
        <v>http://dx.doi.org/10.1657/1523-0430(2007)39[110:EOHADB]2.0.CO;2</v>
      </c>
      <c r="BG751" t="s">
        <v>74</v>
      </c>
      <c r="BH751" t="s">
        <v>74</v>
      </c>
      <c r="BI751">
        <v>7</v>
      </c>
      <c r="BJ751" t="s">
        <v>1233</v>
      </c>
      <c r="BK751" t="s">
        <v>98</v>
      </c>
      <c r="BL751" t="s">
        <v>1234</v>
      </c>
      <c r="BM751" t="s">
        <v>11709</v>
      </c>
      <c r="BN751" t="s">
        <v>74</v>
      </c>
      <c r="BO751" t="s">
        <v>1249</v>
      </c>
      <c r="BP751" t="s">
        <v>74</v>
      </c>
      <c r="BQ751" t="s">
        <v>74</v>
      </c>
      <c r="BR751" t="s">
        <v>101</v>
      </c>
      <c r="BS751" t="s">
        <v>11848</v>
      </c>
      <c r="BT751" t="str">
        <f>HYPERLINK("https%3A%2F%2Fwww.webofscience.com%2Fwos%2Fwoscc%2Ffull-record%2FWOS:000244658600013","View Full Record in Web of Science")</f>
        <v>View Full Record in Web of Science</v>
      </c>
    </row>
    <row r="752" spans="1:72" x14ac:dyDescent="0.15">
      <c r="A752" t="s">
        <v>72</v>
      </c>
      <c r="B752" t="s">
        <v>11849</v>
      </c>
      <c r="C752" t="s">
        <v>74</v>
      </c>
      <c r="D752" t="s">
        <v>74</v>
      </c>
      <c r="E752" t="s">
        <v>74</v>
      </c>
      <c r="F752" t="s">
        <v>11850</v>
      </c>
      <c r="G752" t="s">
        <v>74</v>
      </c>
      <c r="H752" t="s">
        <v>74</v>
      </c>
      <c r="I752" t="s">
        <v>11851</v>
      </c>
      <c r="J752" t="s">
        <v>1217</v>
      </c>
      <c r="K752" t="s">
        <v>74</v>
      </c>
      <c r="L752" t="s">
        <v>74</v>
      </c>
      <c r="M752" t="s">
        <v>78</v>
      </c>
      <c r="N752" t="s">
        <v>79</v>
      </c>
      <c r="O752" t="s">
        <v>74</v>
      </c>
      <c r="P752" t="s">
        <v>74</v>
      </c>
      <c r="Q752" t="s">
        <v>74</v>
      </c>
      <c r="R752" t="s">
        <v>74</v>
      </c>
      <c r="S752" t="s">
        <v>74</v>
      </c>
      <c r="T752" t="s">
        <v>74</v>
      </c>
      <c r="U752" t="s">
        <v>11852</v>
      </c>
      <c r="V752" t="s">
        <v>11853</v>
      </c>
      <c r="W752" t="s">
        <v>11854</v>
      </c>
      <c r="X752" t="s">
        <v>11855</v>
      </c>
      <c r="Y752" t="s">
        <v>11856</v>
      </c>
      <c r="Z752" t="s">
        <v>11857</v>
      </c>
      <c r="AA752" t="s">
        <v>11858</v>
      </c>
      <c r="AB752" t="s">
        <v>11859</v>
      </c>
      <c r="AC752" t="s">
        <v>74</v>
      </c>
      <c r="AD752" t="s">
        <v>74</v>
      </c>
      <c r="AE752" t="s">
        <v>74</v>
      </c>
      <c r="AF752" t="s">
        <v>74</v>
      </c>
      <c r="AG752">
        <v>65</v>
      </c>
      <c r="AH752">
        <v>21</v>
      </c>
      <c r="AI752">
        <v>21</v>
      </c>
      <c r="AJ752">
        <v>0</v>
      </c>
      <c r="AK752">
        <v>19</v>
      </c>
      <c r="AL752" t="s">
        <v>1225</v>
      </c>
      <c r="AM752" t="s">
        <v>1226</v>
      </c>
      <c r="AN752" t="s">
        <v>1227</v>
      </c>
      <c r="AO752" t="s">
        <v>1228</v>
      </c>
      <c r="AP752" t="s">
        <v>1229</v>
      </c>
      <c r="AQ752" t="s">
        <v>74</v>
      </c>
      <c r="AR752" t="s">
        <v>1230</v>
      </c>
      <c r="AS752" t="s">
        <v>1231</v>
      </c>
      <c r="AT752" t="s">
        <v>11681</v>
      </c>
      <c r="AU752">
        <v>2007</v>
      </c>
      <c r="AV752">
        <v>39</v>
      </c>
      <c r="AW752">
        <v>1</v>
      </c>
      <c r="AX752" t="s">
        <v>74</v>
      </c>
      <c r="AY752" t="s">
        <v>74</v>
      </c>
      <c r="AZ752" t="s">
        <v>74</v>
      </c>
      <c r="BA752" t="s">
        <v>74</v>
      </c>
      <c r="BB752">
        <v>117</v>
      </c>
      <c r="BC752">
        <v>126</v>
      </c>
      <c r="BD752" t="s">
        <v>74</v>
      </c>
      <c r="BE752" t="s">
        <v>11860</v>
      </c>
      <c r="BF752" t="str">
        <f>HYPERLINK("http://dx.doi.org/10.1657/1523-0430(2007)39[117:NIIFCD]2.0.CO;2","http://dx.doi.org/10.1657/1523-0430(2007)39[117:NIIFCD]2.0.CO;2")</f>
        <v>http://dx.doi.org/10.1657/1523-0430(2007)39[117:NIIFCD]2.0.CO;2</v>
      </c>
      <c r="BG752" t="s">
        <v>74</v>
      </c>
      <c r="BH752" t="s">
        <v>74</v>
      </c>
      <c r="BI752">
        <v>10</v>
      </c>
      <c r="BJ752" t="s">
        <v>1233</v>
      </c>
      <c r="BK752" t="s">
        <v>98</v>
      </c>
      <c r="BL752" t="s">
        <v>1234</v>
      </c>
      <c r="BM752" t="s">
        <v>11709</v>
      </c>
      <c r="BN752" t="s">
        <v>74</v>
      </c>
      <c r="BO752" t="s">
        <v>10158</v>
      </c>
      <c r="BP752" t="s">
        <v>74</v>
      </c>
      <c r="BQ752" t="s">
        <v>74</v>
      </c>
      <c r="BR752" t="s">
        <v>101</v>
      </c>
      <c r="BS752" t="s">
        <v>11861</v>
      </c>
      <c r="BT752" t="str">
        <f>HYPERLINK("https%3A%2F%2Fwww.webofscience.com%2Fwos%2Fwoscc%2Ffull-record%2FWOS:000244658600014","View Full Record in Web of Science")</f>
        <v>View Full Record in Web of Science</v>
      </c>
    </row>
    <row r="753" spans="1:72" x14ac:dyDescent="0.15">
      <c r="A753" t="s">
        <v>72</v>
      </c>
      <c r="B753" t="s">
        <v>11862</v>
      </c>
      <c r="C753" t="s">
        <v>74</v>
      </c>
      <c r="D753" t="s">
        <v>74</v>
      </c>
      <c r="E753" t="s">
        <v>74</v>
      </c>
      <c r="F753" t="s">
        <v>11863</v>
      </c>
      <c r="G753" t="s">
        <v>74</v>
      </c>
      <c r="H753" t="s">
        <v>74</v>
      </c>
      <c r="I753" t="s">
        <v>11864</v>
      </c>
      <c r="J753" t="s">
        <v>1217</v>
      </c>
      <c r="K753" t="s">
        <v>74</v>
      </c>
      <c r="L753" t="s">
        <v>74</v>
      </c>
      <c r="M753" t="s">
        <v>78</v>
      </c>
      <c r="N753" t="s">
        <v>79</v>
      </c>
      <c r="O753" t="s">
        <v>74</v>
      </c>
      <c r="P753" t="s">
        <v>74</v>
      </c>
      <c r="Q753" t="s">
        <v>74</v>
      </c>
      <c r="R753" t="s">
        <v>74</v>
      </c>
      <c r="S753" t="s">
        <v>74</v>
      </c>
      <c r="T753" t="s">
        <v>74</v>
      </c>
      <c r="U753" t="s">
        <v>11865</v>
      </c>
      <c r="V753" t="s">
        <v>11866</v>
      </c>
      <c r="W753" t="s">
        <v>11867</v>
      </c>
      <c r="X753" t="s">
        <v>11868</v>
      </c>
      <c r="Y753" t="s">
        <v>11869</v>
      </c>
      <c r="Z753" t="s">
        <v>11870</v>
      </c>
      <c r="AA753" t="s">
        <v>74</v>
      </c>
      <c r="AB753" t="s">
        <v>74</v>
      </c>
      <c r="AC753" t="s">
        <v>74</v>
      </c>
      <c r="AD753" t="s">
        <v>74</v>
      </c>
      <c r="AE753" t="s">
        <v>74</v>
      </c>
      <c r="AF753" t="s">
        <v>74</v>
      </c>
      <c r="AG753">
        <v>63</v>
      </c>
      <c r="AH753">
        <v>19</v>
      </c>
      <c r="AI753">
        <v>31</v>
      </c>
      <c r="AJ753">
        <v>1</v>
      </c>
      <c r="AK753">
        <v>17</v>
      </c>
      <c r="AL753" t="s">
        <v>1225</v>
      </c>
      <c r="AM753" t="s">
        <v>1226</v>
      </c>
      <c r="AN753" t="s">
        <v>1227</v>
      </c>
      <c r="AO753" t="s">
        <v>1228</v>
      </c>
      <c r="AP753" t="s">
        <v>1229</v>
      </c>
      <c r="AQ753" t="s">
        <v>74</v>
      </c>
      <c r="AR753" t="s">
        <v>1230</v>
      </c>
      <c r="AS753" t="s">
        <v>1231</v>
      </c>
      <c r="AT753" t="s">
        <v>11681</v>
      </c>
      <c r="AU753">
        <v>2007</v>
      </c>
      <c r="AV753">
        <v>39</v>
      </c>
      <c r="AW753">
        <v>1</v>
      </c>
      <c r="AX753" t="s">
        <v>74</v>
      </c>
      <c r="AY753" t="s">
        <v>74</v>
      </c>
      <c r="AZ753" t="s">
        <v>74</v>
      </c>
      <c r="BA753" t="s">
        <v>74</v>
      </c>
      <c r="BB753">
        <v>127</v>
      </c>
      <c r="BC753">
        <v>136</v>
      </c>
      <c r="BD753" t="s">
        <v>74</v>
      </c>
      <c r="BE753" t="s">
        <v>11871</v>
      </c>
      <c r="BF753" t="str">
        <f>HYPERLINK("http://dx.doi.org/10.1657/1523-0430(2007)39[127:RGICCU]2.0.CO;2","http://dx.doi.org/10.1657/1523-0430(2007)39[127:RGICCU]2.0.CO;2")</f>
        <v>http://dx.doi.org/10.1657/1523-0430(2007)39[127:RGICCU]2.0.CO;2</v>
      </c>
      <c r="BG753" t="s">
        <v>74</v>
      </c>
      <c r="BH753" t="s">
        <v>74</v>
      </c>
      <c r="BI753">
        <v>10</v>
      </c>
      <c r="BJ753" t="s">
        <v>1233</v>
      </c>
      <c r="BK753" t="s">
        <v>98</v>
      </c>
      <c r="BL753" t="s">
        <v>1234</v>
      </c>
      <c r="BM753" t="s">
        <v>11709</v>
      </c>
      <c r="BN753" t="s">
        <v>74</v>
      </c>
      <c r="BO753" t="s">
        <v>1249</v>
      </c>
      <c r="BP753" t="s">
        <v>74</v>
      </c>
      <c r="BQ753" t="s">
        <v>74</v>
      </c>
      <c r="BR753" t="s">
        <v>101</v>
      </c>
      <c r="BS753" t="s">
        <v>11872</v>
      </c>
      <c r="BT753" t="str">
        <f>HYPERLINK("https%3A%2F%2Fwww.webofscience.com%2Fwos%2Fwoscc%2Ffull-record%2FWOS:000244658600015","View Full Record in Web of Science")</f>
        <v>View Full Record in Web of Science</v>
      </c>
    </row>
    <row r="754" spans="1:72" x14ac:dyDescent="0.15">
      <c r="A754" t="s">
        <v>72</v>
      </c>
      <c r="B754" t="s">
        <v>11873</v>
      </c>
      <c r="C754" t="s">
        <v>74</v>
      </c>
      <c r="D754" t="s">
        <v>74</v>
      </c>
      <c r="E754" t="s">
        <v>74</v>
      </c>
      <c r="F754" t="s">
        <v>11874</v>
      </c>
      <c r="G754" t="s">
        <v>74</v>
      </c>
      <c r="H754" t="s">
        <v>74</v>
      </c>
      <c r="I754" t="s">
        <v>11875</v>
      </c>
      <c r="J754" t="s">
        <v>1217</v>
      </c>
      <c r="K754" t="s">
        <v>74</v>
      </c>
      <c r="L754" t="s">
        <v>74</v>
      </c>
      <c r="M754" t="s">
        <v>78</v>
      </c>
      <c r="N754" t="s">
        <v>79</v>
      </c>
      <c r="O754" t="s">
        <v>74</v>
      </c>
      <c r="P754" t="s">
        <v>74</v>
      </c>
      <c r="Q754" t="s">
        <v>74</v>
      </c>
      <c r="R754" t="s">
        <v>74</v>
      </c>
      <c r="S754" t="s">
        <v>74</v>
      </c>
      <c r="T754" t="s">
        <v>74</v>
      </c>
      <c r="U754" t="s">
        <v>11876</v>
      </c>
      <c r="V754" t="s">
        <v>11877</v>
      </c>
      <c r="W754" t="s">
        <v>11878</v>
      </c>
      <c r="X754" t="s">
        <v>11879</v>
      </c>
      <c r="Y754" t="s">
        <v>11880</v>
      </c>
      <c r="Z754" t="s">
        <v>11881</v>
      </c>
      <c r="AA754" t="s">
        <v>74</v>
      </c>
      <c r="AB754" t="s">
        <v>11882</v>
      </c>
      <c r="AC754" t="s">
        <v>74</v>
      </c>
      <c r="AD754" t="s">
        <v>74</v>
      </c>
      <c r="AE754" t="s">
        <v>74</v>
      </c>
      <c r="AF754" t="s">
        <v>74</v>
      </c>
      <c r="AG754">
        <v>30</v>
      </c>
      <c r="AH754">
        <v>2</v>
      </c>
      <c r="AI754">
        <v>2</v>
      </c>
      <c r="AJ754">
        <v>0</v>
      </c>
      <c r="AK754">
        <v>6</v>
      </c>
      <c r="AL754" t="s">
        <v>1262</v>
      </c>
      <c r="AM754" t="s">
        <v>1263</v>
      </c>
      <c r="AN754" t="s">
        <v>1264</v>
      </c>
      <c r="AO754" t="s">
        <v>1228</v>
      </c>
      <c r="AP754" t="s">
        <v>74</v>
      </c>
      <c r="AQ754" t="s">
        <v>74</v>
      </c>
      <c r="AR754" t="s">
        <v>1230</v>
      </c>
      <c r="AS754" t="s">
        <v>1231</v>
      </c>
      <c r="AT754" t="s">
        <v>11681</v>
      </c>
      <c r="AU754">
        <v>2007</v>
      </c>
      <c r="AV754">
        <v>39</v>
      </c>
      <c r="AW754">
        <v>1</v>
      </c>
      <c r="AX754" t="s">
        <v>74</v>
      </c>
      <c r="AY754" t="s">
        <v>74</v>
      </c>
      <c r="AZ754" t="s">
        <v>74</v>
      </c>
      <c r="BA754" t="s">
        <v>74</v>
      </c>
      <c r="BB754">
        <v>137</v>
      </c>
      <c r="BC754">
        <v>142</v>
      </c>
      <c r="BD754" t="s">
        <v>74</v>
      </c>
      <c r="BE754" t="s">
        <v>11883</v>
      </c>
      <c r="BF754" t="str">
        <f>HYPERLINK("http://dx.doi.org/10.1657/1523-0430(2007)39[137:EHAAAP]2.0.CO;2","http://dx.doi.org/10.1657/1523-0430(2007)39[137:EHAAAP]2.0.CO;2")</f>
        <v>http://dx.doi.org/10.1657/1523-0430(2007)39[137:EHAAAP]2.0.CO;2</v>
      </c>
      <c r="BG754" t="s">
        <v>74</v>
      </c>
      <c r="BH754" t="s">
        <v>74</v>
      </c>
      <c r="BI754">
        <v>6</v>
      </c>
      <c r="BJ754" t="s">
        <v>1233</v>
      </c>
      <c r="BK754" t="s">
        <v>98</v>
      </c>
      <c r="BL754" t="s">
        <v>1234</v>
      </c>
      <c r="BM754" t="s">
        <v>11709</v>
      </c>
      <c r="BN754" t="s">
        <v>74</v>
      </c>
      <c r="BO754" t="s">
        <v>1249</v>
      </c>
      <c r="BP754" t="s">
        <v>74</v>
      </c>
      <c r="BQ754" t="s">
        <v>74</v>
      </c>
      <c r="BR754" t="s">
        <v>101</v>
      </c>
      <c r="BS754" t="s">
        <v>11884</v>
      </c>
      <c r="BT754" t="str">
        <f>HYPERLINK("https%3A%2F%2Fwww.webofscience.com%2Fwos%2Fwoscc%2Ffull-record%2FWOS:000244658600016","View Full Record in Web of Science")</f>
        <v>View Full Record in Web of Science</v>
      </c>
    </row>
    <row r="755" spans="1:72" x14ac:dyDescent="0.15">
      <c r="A755" t="s">
        <v>72</v>
      </c>
      <c r="B755" t="s">
        <v>11885</v>
      </c>
      <c r="C755" t="s">
        <v>74</v>
      </c>
      <c r="D755" t="s">
        <v>74</v>
      </c>
      <c r="E755" t="s">
        <v>74</v>
      </c>
      <c r="F755" t="s">
        <v>11886</v>
      </c>
      <c r="G755" t="s">
        <v>74</v>
      </c>
      <c r="H755" t="s">
        <v>74</v>
      </c>
      <c r="I755" t="s">
        <v>11887</v>
      </c>
      <c r="J755" t="s">
        <v>1217</v>
      </c>
      <c r="K755" t="s">
        <v>74</v>
      </c>
      <c r="L755" t="s">
        <v>74</v>
      </c>
      <c r="M755" t="s">
        <v>78</v>
      </c>
      <c r="N755" t="s">
        <v>79</v>
      </c>
      <c r="O755" t="s">
        <v>74</v>
      </c>
      <c r="P755" t="s">
        <v>74</v>
      </c>
      <c r="Q755" t="s">
        <v>74</v>
      </c>
      <c r="R755" t="s">
        <v>74</v>
      </c>
      <c r="S755" t="s">
        <v>74</v>
      </c>
      <c r="T755" t="s">
        <v>74</v>
      </c>
      <c r="U755" t="s">
        <v>11888</v>
      </c>
      <c r="V755" t="s">
        <v>11889</v>
      </c>
      <c r="W755" t="s">
        <v>11890</v>
      </c>
      <c r="X755" t="s">
        <v>11891</v>
      </c>
      <c r="Y755" t="s">
        <v>11892</v>
      </c>
      <c r="Z755" t="s">
        <v>11893</v>
      </c>
      <c r="AA755" t="s">
        <v>11894</v>
      </c>
      <c r="AB755" t="s">
        <v>11895</v>
      </c>
      <c r="AC755" t="s">
        <v>74</v>
      </c>
      <c r="AD755" t="s">
        <v>74</v>
      </c>
      <c r="AE755" t="s">
        <v>74</v>
      </c>
      <c r="AF755" t="s">
        <v>74</v>
      </c>
      <c r="AG755">
        <v>54</v>
      </c>
      <c r="AH755">
        <v>50</v>
      </c>
      <c r="AI755">
        <v>53</v>
      </c>
      <c r="AJ755">
        <v>0</v>
      </c>
      <c r="AK755">
        <v>22</v>
      </c>
      <c r="AL755" t="s">
        <v>1225</v>
      </c>
      <c r="AM755" t="s">
        <v>1226</v>
      </c>
      <c r="AN755" t="s">
        <v>1227</v>
      </c>
      <c r="AO755" t="s">
        <v>1228</v>
      </c>
      <c r="AP755" t="s">
        <v>1229</v>
      </c>
      <c r="AQ755" t="s">
        <v>74</v>
      </c>
      <c r="AR755" t="s">
        <v>1230</v>
      </c>
      <c r="AS755" t="s">
        <v>1231</v>
      </c>
      <c r="AT755" t="s">
        <v>11681</v>
      </c>
      <c r="AU755">
        <v>2007</v>
      </c>
      <c r="AV755">
        <v>39</v>
      </c>
      <c r="AW755">
        <v>1</v>
      </c>
      <c r="AX755" t="s">
        <v>74</v>
      </c>
      <c r="AY755" t="s">
        <v>74</v>
      </c>
      <c r="AZ755" t="s">
        <v>74</v>
      </c>
      <c r="BA755" t="s">
        <v>74</v>
      </c>
      <c r="BB755">
        <v>143</v>
      </c>
      <c r="BC755">
        <v>151</v>
      </c>
      <c r="BD755" t="s">
        <v>74</v>
      </c>
      <c r="BE755" t="s">
        <v>11896</v>
      </c>
      <c r="BF755" t="str">
        <f>HYPERLINK("http://dx.doi.org/10.1657/1523-0430(2007)39[143:ZOVRTP]2.0.CO;2","http://dx.doi.org/10.1657/1523-0430(2007)39[143:ZOVRTP]2.0.CO;2")</f>
        <v>http://dx.doi.org/10.1657/1523-0430(2007)39[143:ZOVRTP]2.0.CO;2</v>
      </c>
      <c r="BG755" t="s">
        <v>74</v>
      </c>
      <c r="BH755" t="s">
        <v>74</v>
      </c>
      <c r="BI755">
        <v>9</v>
      </c>
      <c r="BJ755" t="s">
        <v>1233</v>
      </c>
      <c r="BK755" t="s">
        <v>98</v>
      </c>
      <c r="BL755" t="s">
        <v>1234</v>
      </c>
      <c r="BM755" t="s">
        <v>11709</v>
      </c>
      <c r="BN755" t="s">
        <v>74</v>
      </c>
      <c r="BO755" t="s">
        <v>1249</v>
      </c>
      <c r="BP755" t="s">
        <v>74</v>
      </c>
      <c r="BQ755" t="s">
        <v>74</v>
      </c>
      <c r="BR755" t="s">
        <v>101</v>
      </c>
      <c r="BS755" t="s">
        <v>11897</v>
      </c>
      <c r="BT755" t="str">
        <f>HYPERLINK("https%3A%2F%2Fwww.webofscience.com%2Fwos%2Fwoscc%2Ffull-record%2FWOS:000244658600017","View Full Record in Web of Science")</f>
        <v>View Full Record in Web of Science</v>
      </c>
    </row>
    <row r="756" spans="1:72" x14ac:dyDescent="0.15">
      <c r="A756" t="s">
        <v>72</v>
      </c>
      <c r="B756" t="s">
        <v>11898</v>
      </c>
      <c r="C756" t="s">
        <v>74</v>
      </c>
      <c r="D756" t="s">
        <v>74</v>
      </c>
      <c r="E756" t="s">
        <v>74</v>
      </c>
      <c r="F756" t="s">
        <v>11899</v>
      </c>
      <c r="G756" t="s">
        <v>74</v>
      </c>
      <c r="H756" t="s">
        <v>74</v>
      </c>
      <c r="I756" t="s">
        <v>11900</v>
      </c>
      <c r="J756" t="s">
        <v>1217</v>
      </c>
      <c r="K756" t="s">
        <v>74</v>
      </c>
      <c r="L756" t="s">
        <v>74</v>
      </c>
      <c r="M756" t="s">
        <v>78</v>
      </c>
      <c r="N756" t="s">
        <v>79</v>
      </c>
      <c r="O756" t="s">
        <v>74</v>
      </c>
      <c r="P756" t="s">
        <v>74</v>
      </c>
      <c r="Q756" t="s">
        <v>74</v>
      </c>
      <c r="R756" t="s">
        <v>74</v>
      </c>
      <c r="S756" t="s">
        <v>74</v>
      </c>
      <c r="T756" t="s">
        <v>74</v>
      </c>
      <c r="U756" t="s">
        <v>11901</v>
      </c>
      <c r="V756" t="s">
        <v>11902</v>
      </c>
      <c r="W756" t="s">
        <v>11903</v>
      </c>
      <c r="X756" t="s">
        <v>11904</v>
      </c>
      <c r="Y756" t="s">
        <v>11905</v>
      </c>
      <c r="Z756" t="s">
        <v>11906</v>
      </c>
      <c r="AA756" t="s">
        <v>11907</v>
      </c>
      <c r="AB756" t="s">
        <v>11908</v>
      </c>
      <c r="AC756" t="s">
        <v>74</v>
      </c>
      <c r="AD756" t="s">
        <v>74</v>
      </c>
      <c r="AE756" t="s">
        <v>74</v>
      </c>
      <c r="AF756" t="s">
        <v>74</v>
      </c>
      <c r="AG756">
        <v>21</v>
      </c>
      <c r="AH756">
        <v>12</v>
      </c>
      <c r="AI756">
        <v>14</v>
      </c>
      <c r="AJ756">
        <v>0</v>
      </c>
      <c r="AK756">
        <v>10</v>
      </c>
      <c r="AL756" t="s">
        <v>1225</v>
      </c>
      <c r="AM756" t="s">
        <v>1226</v>
      </c>
      <c r="AN756" t="s">
        <v>1227</v>
      </c>
      <c r="AO756" t="s">
        <v>1228</v>
      </c>
      <c r="AP756" t="s">
        <v>1229</v>
      </c>
      <c r="AQ756" t="s">
        <v>74</v>
      </c>
      <c r="AR756" t="s">
        <v>1230</v>
      </c>
      <c r="AS756" t="s">
        <v>1231</v>
      </c>
      <c r="AT756" t="s">
        <v>11681</v>
      </c>
      <c r="AU756">
        <v>2007</v>
      </c>
      <c r="AV756">
        <v>39</v>
      </c>
      <c r="AW756">
        <v>1</v>
      </c>
      <c r="AX756" t="s">
        <v>74</v>
      </c>
      <c r="AY756" t="s">
        <v>74</v>
      </c>
      <c r="AZ756" t="s">
        <v>74</v>
      </c>
      <c r="BA756" t="s">
        <v>74</v>
      </c>
      <c r="BB756">
        <v>152</v>
      </c>
      <c r="BC756">
        <v>164</v>
      </c>
      <c r="BD756" t="s">
        <v>74</v>
      </c>
      <c r="BE756" t="s">
        <v>11909</v>
      </c>
      <c r="BF756" t="str">
        <f>HYPERLINK("http://dx.doi.org/10.1657/1523-0430(2007)39[152:SCCITT]2.0.CO;2","http://dx.doi.org/10.1657/1523-0430(2007)39[152:SCCITT]2.0.CO;2")</f>
        <v>http://dx.doi.org/10.1657/1523-0430(2007)39[152:SCCITT]2.0.CO;2</v>
      </c>
      <c r="BG756" t="s">
        <v>74</v>
      </c>
      <c r="BH756" t="s">
        <v>74</v>
      </c>
      <c r="BI756">
        <v>13</v>
      </c>
      <c r="BJ756" t="s">
        <v>1233</v>
      </c>
      <c r="BK756" t="s">
        <v>98</v>
      </c>
      <c r="BL756" t="s">
        <v>1234</v>
      </c>
      <c r="BM756" t="s">
        <v>11709</v>
      </c>
      <c r="BN756" t="s">
        <v>74</v>
      </c>
      <c r="BO756" t="s">
        <v>1249</v>
      </c>
      <c r="BP756" t="s">
        <v>74</v>
      </c>
      <c r="BQ756" t="s">
        <v>74</v>
      </c>
      <c r="BR756" t="s">
        <v>101</v>
      </c>
      <c r="BS756" t="s">
        <v>11910</v>
      </c>
      <c r="BT756" t="str">
        <f>HYPERLINK("https%3A%2F%2Fwww.webofscience.com%2Fwos%2Fwoscc%2Ffull-record%2FWOS:000244658600018","View Full Record in Web of Science")</f>
        <v>View Full Record in Web of Science</v>
      </c>
    </row>
    <row r="757" spans="1:72" x14ac:dyDescent="0.15">
      <c r="A757" t="s">
        <v>72</v>
      </c>
      <c r="B757" t="s">
        <v>11911</v>
      </c>
      <c r="C757" t="s">
        <v>74</v>
      </c>
      <c r="D757" t="s">
        <v>74</v>
      </c>
      <c r="E757" t="s">
        <v>74</v>
      </c>
      <c r="F757" t="s">
        <v>11912</v>
      </c>
      <c r="G757" t="s">
        <v>74</v>
      </c>
      <c r="H757" t="s">
        <v>74</v>
      </c>
      <c r="I757" t="s">
        <v>11913</v>
      </c>
      <c r="J757" t="s">
        <v>1217</v>
      </c>
      <c r="K757" t="s">
        <v>74</v>
      </c>
      <c r="L757" t="s">
        <v>74</v>
      </c>
      <c r="M757" t="s">
        <v>78</v>
      </c>
      <c r="N757" t="s">
        <v>79</v>
      </c>
      <c r="O757" t="s">
        <v>74</v>
      </c>
      <c r="P757" t="s">
        <v>74</v>
      </c>
      <c r="Q757" t="s">
        <v>74</v>
      </c>
      <c r="R757" t="s">
        <v>74</v>
      </c>
      <c r="S757" t="s">
        <v>74</v>
      </c>
      <c r="T757" t="s">
        <v>74</v>
      </c>
      <c r="U757" t="s">
        <v>11914</v>
      </c>
      <c r="V757" t="s">
        <v>11915</v>
      </c>
      <c r="W757" t="s">
        <v>11916</v>
      </c>
      <c r="X757" t="s">
        <v>11917</v>
      </c>
      <c r="Y757" t="s">
        <v>11918</v>
      </c>
      <c r="Z757" t="s">
        <v>11919</v>
      </c>
      <c r="AA757" t="s">
        <v>11920</v>
      </c>
      <c r="AB757" t="s">
        <v>74</v>
      </c>
      <c r="AC757" t="s">
        <v>74</v>
      </c>
      <c r="AD757" t="s">
        <v>74</v>
      </c>
      <c r="AE757" t="s">
        <v>74</v>
      </c>
      <c r="AF757" t="s">
        <v>74</v>
      </c>
      <c r="AG757">
        <v>40</v>
      </c>
      <c r="AH757">
        <v>14</v>
      </c>
      <c r="AI757">
        <v>17</v>
      </c>
      <c r="AJ757">
        <v>0</v>
      </c>
      <c r="AK757">
        <v>26</v>
      </c>
      <c r="AL757" t="s">
        <v>1225</v>
      </c>
      <c r="AM757" t="s">
        <v>1226</v>
      </c>
      <c r="AN757" t="s">
        <v>1227</v>
      </c>
      <c r="AO757" t="s">
        <v>1228</v>
      </c>
      <c r="AP757" t="s">
        <v>1229</v>
      </c>
      <c r="AQ757" t="s">
        <v>74</v>
      </c>
      <c r="AR757" t="s">
        <v>1230</v>
      </c>
      <c r="AS757" t="s">
        <v>1231</v>
      </c>
      <c r="AT757" t="s">
        <v>11681</v>
      </c>
      <c r="AU757">
        <v>2007</v>
      </c>
      <c r="AV757">
        <v>39</v>
      </c>
      <c r="AW757">
        <v>1</v>
      </c>
      <c r="AX757" t="s">
        <v>74</v>
      </c>
      <c r="AY757" t="s">
        <v>74</v>
      </c>
      <c r="AZ757" t="s">
        <v>74</v>
      </c>
      <c r="BA757" t="s">
        <v>74</v>
      </c>
      <c r="BB757">
        <v>165</v>
      </c>
      <c r="BC757">
        <v>176</v>
      </c>
      <c r="BD757" t="s">
        <v>74</v>
      </c>
      <c r="BE757" t="s">
        <v>11921</v>
      </c>
      <c r="BF757" t="str">
        <f>HYPERLINK("http://dx.doi.org/10.1657/1523-0430(2007)39[165:IDISGE]2.0.CO;2","http://dx.doi.org/10.1657/1523-0430(2007)39[165:IDISGE]2.0.CO;2")</f>
        <v>http://dx.doi.org/10.1657/1523-0430(2007)39[165:IDISGE]2.0.CO;2</v>
      </c>
      <c r="BG757" t="s">
        <v>74</v>
      </c>
      <c r="BH757" t="s">
        <v>74</v>
      </c>
      <c r="BI757">
        <v>12</v>
      </c>
      <c r="BJ757" t="s">
        <v>1233</v>
      </c>
      <c r="BK757" t="s">
        <v>98</v>
      </c>
      <c r="BL757" t="s">
        <v>1234</v>
      </c>
      <c r="BM757" t="s">
        <v>11709</v>
      </c>
      <c r="BN757" t="s">
        <v>74</v>
      </c>
      <c r="BO757" t="s">
        <v>1249</v>
      </c>
      <c r="BP757" t="s">
        <v>74</v>
      </c>
      <c r="BQ757" t="s">
        <v>74</v>
      </c>
      <c r="BR757" t="s">
        <v>101</v>
      </c>
      <c r="BS757" t="s">
        <v>11922</v>
      </c>
      <c r="BT757" t="str">
        <f>HYPERLINK("https%3A%2F%2Fwww.webofscience.com%2Fwos%2Fwoscc%2Ffull-record%2FWOS:000244658600019","View Full Record in Web of Science")</f>
        <v>View Full Record in Web of Science</v>
      </c>
    </row>
    <row r="758" spans="1:72" x14ac:dyDescent="0.15">
      <c r="A758" t="s">
        <v>72</v>
      </c>
      <c r="B758" t="s">
        <v>11923</v>
      </c>
      <c r="C758" t="s">
        <v>74</v>
      </c>
      <c r="D758" t="s">
        <v>74</v>
      </c>
      <c r="E758" t="s">
        <v>74</v>
      </c>
      <c r="F758" t="s">
        <v>11924</v>
      </c>
      <c r="G758" t="s">
        <v>74</v>
      </c>
      <c r="H758" t="s">
        <v>74</v>
      </c>
      <c r="I758" t="s">
        <v>11925</v>
      </c>
      <c r="J758" t="s">
        <v>1217</v>
      </c>
      <c r="K758" t="s">
        <v>74</v>
      </c>
      <c r="L758" t="s">
        <v>74</v>
      </c>
      <c r="M758" t="s">
        <v>78</v>
      </c>
      <c r="N758" t="s">
        <v>79</v>
      </c>
      <c r="O758" t="s">
        <v>74</v>
      </c>
      <c r="P758" t="s">
        <v>74</v>
      </c>
      <c r="Q758" t="s">
        <v>74</v>
      </c>
      <c r="R758" t="s">
        <v>74</v>
      </c>
      <c r="S758" t="s">
        <v>74</v>
      </c>
      <c r="T758" t="s">
        <v>74</v>
      </c>
      <c r="U758" t="s">
        <v>11926</v>
      </c>
      <c r="V758" t="s">
        <v>11927</v>
      </c>
      <c r="W758" t="s">
        <v>11928</v>
      </c>
      <c r="X758" t="s">
        <v>11929</v>
      </c>
      <c r="Y758" t="s">
        <v>74</v>
      </c>
      <c r="Z758" t="s">
        <v>11930</v>
      </c>
      <c r="AA758" t="s">
        <v>11931</v>
      </c>
      <c r="AB758" t="s">
        <v>11932</v>
      </c>
      <c r="AC758" t="s">
        <v>74</v>
      </c>
      <c r="AD758" t="s">
        <v>74</v>
      </c>
      <c r="AE758" t="s">
        <v>74</v>
      </c>
      <c r="AF758" t="s">
        <v>74</v>
      </c>
      <c r="AG758">
        <v>29</v>
      </c>
      <c r="AH758">
        <v>36</v>
      </c>
      <c r="AI758">
        <v>39</v>
      </c>
      <c r="AJ758">
        <v>1</v>
      </c>
      <c r="AK758">
        <v>27</v>
      </c>
      <c r="AL758" t="s">
        <v>1225</v>
      </c>
      <c r="AM758" t="s">
        <v>1226</v>
      </c>
      <c r="AN758" t="s">
        <v>1227</v>
      </c>
      <c r="AO758" t="s">
        <v>1228</v>
      </c>
      <c r="AP758" t="s">
        <v>1229</v>
      </c>
      <c r="AQ758" t="s">
        <v>74</v>
      </c>
      <c r="AR758" t="s">
        <v>1230</v>
      </c>
      <c r="AS758" t="s">
        <v>1231</v>
      </c>
      <c r="AT758" t="s">
        <v>11681</v>
      </c>
      <c r="AU758">
        <v>2007</v>
      </c>
      <c r="AV758">
        <v>39</v>
      </c>
      <c r="AW758">
        <v>1</v>
      </c>
      <c r="AX758" t="s">
        <v>74</v>
      </c>
      <c r="AY758" t="s">
        <v>74</v>
      </c>
      <c r="AZ758" t="s">
        <v>74</v>
      </c>
      <c r="BA758" t="s">
        <v>74</v>
      </c>
      <c r="BB758">
        <v>177</v>
      </c>
      <c r="BC758">
        <v>183</v>
      </c>
      <c r="BD758" t="s">
        <v>74</v>
      </c>
      <c r="BE758" t="s">
        <v>11933</v>
      </c>
      <c r="BF758" t="str">
        <f>HYPERLINK("http://dx.doi.org/10.1657/1523-0430(2007)39[177:NROATV]2.0.CO;2","http://dx.doi.org/10.1657/1523-0430(2007)39[177:NROATV]2.0.CO;2")</f>
        <v>http://dx.doi.org/10.1657/1523-0430(2007)39[177:NROATV]2.0.CO;2</v>
      </c>
      <c r="BG758" t="s">
        <v>74</v>
      </c>
      <c r="BH758" t="s">
        <v>74</v>
      </c>
      <c r="BI758">
        <v>7</v>
      </c>
      <c r="BJ758" t="s">
        <v>1233</v>
      </c>
      <c r="BK758" t="s">
        <v>98</v>
      </c>
      <c r="BL758" t="s">
        <v>1234</v>
      </c>
      <c r="BM758" t="s">
        <v>11709</v>
      </c>
      <c r="BN758" t="s">
        <v>74</v>
      </c>
      <c r="BO758" t="s">
        <v>1249</v>
      </c>
      <c r="BP758" t="s">
        <v>74</v>
      </c>
      <c r="BQ758" t="s">
        <v>74</v>
      </c>
      <c r="BR758" t="s">
        <v>101</v>
      </c>
      <c r="BS758" t="s">
        <v>11934</v>
      </c>
      <c r="BT758" t="str">
        <f>HYPERLINK("https%3A%2F%2Fwww.webofscience.com%2Fwos%2Fwoscc%2Ffull-record%2FWOS:000244658600020","View Full Record in Web of Science")</f>
        <v>View Full Record in Web of Science</v>
      </c>
    </row>
    <row r="759" spans="1:72" x14ac:dyDescent="0.15">
      <c r="A759" t="s">
        <v>72</v>
      </c>
      <c r="B759" t="s">
        <v>11935</v>
      </c>
      <c r="C759" t="s">
        <v>74</v>
      </c>
      <c r="D759" t="s">
        <v>74</v>
      </c>
      <c r="E759" t="s">
        <v>74</v>
      </c>
      <c r="F759" t="s">
        <v>11936</v>
      </c>
      <c r="G759" t="s">
        <v>74</v>
      </c>
      <c r="H759" t="s">
        <v>74</v>
      </c>
      <c r="I759" t="s">
        <v>11937</v>
      </c>
      <c r="J759" t="s">
        <v>1450</v>
      </c>
      <c r="K759" t="s">
        <v>74</v>
      </c>
      <c r="L759" t="s">
        <v>74</v>
      </c>
      <c r="M759" t="s">
        <v>78</v>
      </c>
      <c r="N759" t="s">
        <v>79</v>
      </c>
      <c r="O759" t="s">
        <v>74</v>
      </c>
      <c r="P759" t="s">
        <v>74</v>
      </c>
      <c r="Q759" t="s">
        <v>74</v>
      </c>
      <c r="R759" t="s">
        <v>74</v>
      </c>
      <c r="S759" t="s">
        <v>74</v>
      </c>
      <c r="T759" t="s">
        <v>11938</v>
      </c>
      <c r="U759" t="s">
        <v>11939</v>
      </c>
      <c r="V759" t="s">
        <v>11940</v>
      </c>
      <c r="W759" t="s">
        <v>11941</v>
      </c>
      <c r="X759" t="s">
        <v>11942</v>
      </c>
      <c r="Y759" t="s">
        <v>11943</v>
      </c>
      <c r="Z759" t="s">
        <v>11944</v>
      </c>
      <c r="AA759" t="s">
        <v>74</v>
      </c>
      <c r="AB759" t="s">
        <v>11945</v>
      </c>
      <c r="AC759" t="s">
        <v>4831</v>
      </c>
      <c r="AD759" t="s">
        <v>361</v>
      </c>
      <c r="AE759" t="s">
        <v>74</v>
      </c>
      <c r="AF759" t="s">
        <v>74</v>
      </c>
      <c r="AG759">
        <v>39</v>
      </c>
      <c r="AH759">
        <v>43</v>
      </c>
      <c r="AI759">
        <v>44</v>
      </c>
      <c r="AJ759">
        <v>0</v>
      </c>
      <c r="AK759">
        <v>15</v>
      </c>
      <c r="AL759" t="s">
        <v>1459</v>
      </c>
      <c r="AM759" t="s">
        <v>1460</v>
      </c>
      <c r="AN759" t="s">
        <v>1461</v>
      </c>
      <c r="AO759" t="s">
        <v>1462</v>
      </c>
      <c r="AP759" t="s">
        <v>1463</v>
      </c>
      <c r="AQ759" t="s">
        <v>74</v>
      </c>
      <c r="AR759" t="s">
        <v>1450</v>
      </c>
      <c r="AS759" t="s">
        <v>1464</v>
      </c>
      <c r="AT759" t="s">
        <v>11681</v>
      </c>
      <c r="AU759">
        <v>2007</v>
      </c>
      <c r="AV759">
        <v>7</v>
      </c>
      <c r="AW759">
        <v>1</v>
      </c>
      <c r="AX759" t="s">
        <v>74</v>
      </c>
      <c r="AY759" t="s">
        <v>74</v>
      </c>
      <c r="AZ759" t="s">
        <v>74</v>
      </c>
      <c r="BA759" t="s">
        <v>74</v>
      </c>
      <c r="BB759">
        <v>1</v>
      </c>
      <c r="BC759">
        <v>9</v>
      </c>
      <c r="BD759" t="s">
        <v>74</v>
      </c>
      <c r="BE759" t="s">
        <v>11946</v>
      </c>
      <c r="BF759" t="str">
        <f>HYPERLINK("http://dx.doi.org/10.1089/ast.2006.0038","http://dx.doi.org/10.1089/ast.2006.0038")</f>
        <v>http://dx.doi.org/10.1089/ast.2006.0038</v>
      </c>
      <c r="BG759" t="s">
        <v>74</v>
      </c>
      <c r="BH759" t="s">
        <v>74</v>
      </c>
      <c r="BI759">
        <v>9</v>
      </c>
      <c r="BJ759" t="s">
        <v>1466</v>
      </c>
      <c r="BK759" t="s">
        <v>98</v>
      </c>
      <c r="BL759" t="s">
        <v>1467</v>
      </c>
      <c r="BM759" t="s">
        <v>11947</v>
      </c>
      <c r="BN759">
        <v>17407400</v>
      </c>
      <c r="BO759" t="s">
        <v>74</v>
      </c>
      <c r="BP759" t="s">
        <v>74</v>
      </c>
      <c r="BQ759" t="s">
        <v>74</v>
      </c>
      <c r="BR759" t="s">
        <v>101</v>
      </c>
      <c r="BS759" t="s">
        <v>11948</v>
      </c>
      <c r="BT759" t="str">
        <f>HYPERLINK("https%3A%2F%2Fwww.webofscience.com%2Fwos%2Fwoscc%2Ffull-record%2FWOS:000245724900001","View Full Record in Web of Science")</f>
        <v>View Full Record in Web of Science</v>
      </c>
    </row>
    <row r="760" spans="1:72" x14ac:dyDescent="0.15">
      <c r="A760" t="s">
        <v>72</v>
      </c>
      <c r="B760" t="s">
        <v>11949</v>
      </c>
      <c r="C760" t="s">
        <v>74</v>
      </c>
      <c r="D760" t="s">
        <v>74</v>
      </c>
      <c r="E760" t="s">
        <v>74</v>
      </c>
      <c r="F760" t="s">
        <v>11950</v>
      </c>
      <c r="G760" t="s">
        <v>74</v>
      </c>
      <c r="H760" t="s">
        <v>74</v>
      </c>
      <c r="I760" t="s">
        <v>11951</v>
      </c>
      <c r="J760" t="s">
        <v>1450</v>
      </c>
      <c r="K760" t="s">
        <v>74</v>
      </c>
      <c r="L760" t="s">
        <v>74</v>
      </c>
      <c r="M760" t="s">
        <v>78</v>
      </c>
      <c r="N760" t="s">
        <v>248</v>
      </c>
      <c r="O760" t="s">
        <v>74</v>
      </c>
      <c r="P760" t="s">
        <v>74</v>
      </c>
      <c r="Q760" t="s">
        <v>74</v>
      </c>
      <c r="R760" t="s">
        <v>74</v>
      </c>
      <c r="S760" t="s">
        <v>74</v>
      </c>
      <c r="T760" t="s">
        <v>11952</v>
      </c>
      <c r="U760" t="s">
        <v>11953</v>
      </c>
      <c r="V760" t="s">
        <v>11954</v>
      </c>
      <c r="W760" t="s">
        <v>11955</v>
      </c>
      <c r="X760" t="s">
        <v>11956</v>
      </c>
      <c r="Y760" t="s">
        <v>11957</v>
      </c>
      <c r="Z760" t="s">
        <v>11958</v>
      </c>
      <c r="AA760" t="s">
        <v>11959</v>
      </c>
      <c r="AB760" t="s">
        <v>11960</v>
      </c>
      <c r="AC760" t="s">
        <v>11961</v>
      </c>
      <c r="AD760" t="s">
        <v>140</v>
      </c>
      <c r="AE760" t="s">
        <v>74</v>
      </c>
      <c r="AF760" t="s">
        <v>74</v>
      </c>
      <c r="AG760">
        <v>225</v>
      </c>
      <c r="AH760">
        <v>272</v>
      </c>
      <c r="AI760">
        <v>303</v>
      </c>
      <c r="AJ760">
        <v>2</v>
      </c>
      <c r="AK760">
        <v>78</v>
      </c>
      <c r="AL760" t="s">
        <v>1459</v>
      </c>
      <c r="AM760" t="s">
        <v>1460</v>
      </c>
      <c r="AN760" t="s">
        <v>1461</v>
      </c>
      <c r="AO760" t="s">
        <v>1462</v>
      </c>
      <c r="AP760" t="s">
        <v>1463</v>
      </c>
      <c r="AQ760" t="s">
        <v>74</v>
      </c>
      <c r="AR760" t="s">
        <v>1450</v>
      </c>
      <c r="AS760" t="s">
        <v>1464</v>
      </c>
      <c r="AT760" t="s">
        <v>11681</v>
      </c>
      <c r="AU760">
        <v>2007</v>
      </c>
      <c r="AV760">
        <v>7</v>
      </c>
      <c r="AW760">
        <v>1</v>
      </c>
      <c r="AX760" t="s">
        <v>74</v>
      </c>
      <c r="AY760" t="s">
        <v>74</v>
      </c>
      <c r="AZ760" t="s">
        <v>74</v>
      </c>
      <c r="BA760" t="s">
        <v>74</v>
      </c>
      <c r="BB760">
        <v>30</v>
      </c>
      <c r="BC760">
        <v>65</v>
      </c>
      <c r="BD760" t="s">
        <v>74</v>
      </c>
      <c r="BE760" t="s">
        <v>11962</v>
      </c>
      <c r="BF760" t="str">
        <f>HYPERLINK("http://dx.doi.org/10.1089/ast.2006.0124","http://dx.doi.org/10.1089/ast.2006.0124")</f>
        <v>http://dx.doi.org/10.1089/ast.2006.0124</v>
      </c>
      <c r="BG760" t="s">
        <v>74</v>
      </c>
      <c r="BH760" t="s">
        <v>74</v>
      </c>
      <c r="BI760">
        <v>36</v>
      </c>
      <c r="BJ760" t="s">
        <v>1466</v>
      </c>
      <c r="BK760" t="s">
        <v>98</v>
      </c>
      <c r="BL760" t="s">
        <v>1467</v>
      </c>
      <c r="BM760" t="s">
        <v>11947</v>
      </c>
      <c r="BN760">
        <v>17407403</v>
      </c>
      <c r="BO760" t="s">
        <v>1249</v>
      </c>
      <c r="BP760" t="s">
        <v>74</v>
      </c>
      <c r="BQ760" t="s">
        <v>74</v>
      </c>
      <c r="BR760" t="s">
        <v>101</v>
      </c>
      <c r="BS760" t="s">
        <v>11963</v>
      </c>
      <c r="BT760" t="str">
        <f>HYPERLINK("https%3A%2F%2Fwww.webofscience.com%2Fwos%2Fwoscc%2Ffull-record%2FWOS:000245724900004","View Full Record in Web of Science")</f>
        <v>View Full Record in Web of Science</v>
      </c>
    </row>
    <row r="761" spans="1:72" x14ac:dyDescent="0.15">
      <c r="A761" t="s">
        <v>72</v>
      </c>
      <c r="B761" t="s">
        <v>11964</v>
      </c>
      <c r="C761" t="s">
        <v>74</v>
      </c>
      <c r="D761" t="s">
        <v>74</v>
      </c>
      <c r="E761" t="s">
        <v>74</v>
      </c>
      <c r="F761" t="s">
        <v>11965</v>
      </c>
      <c r="G761" t="s">
        <v>74</v>
      </c>
      <c r="H761" t="s">
        <v>74</v>
      </c>
      <c r="I761" t="s">
        <v>11966</v>
      </c>
      <c r="J761" t="s">
        <v>11967</v>
      </c>
      <c r="K761" t="s">
        <v>74</v>
      </c>
      <c r="L761" t="s">
        <v>74</v>
      </c>
      <c r="M761" t="s">
        <v>78</v>
      </c>
      <c r="N761" t="s">
        <v>79</v>
      </c>
      <c r="O761" t="s">
        <v>74</v>
      </c>
      <c r="P761" t="s">
        <v>74</v>
      </c>
      <c r="Q761" t="s">
        <v>74</v>
      </c>
      <c r="R761" t="s">
        <v>74</v>
      </c>
      <c r="S761" t="s">
        <v>74</v>
      </c>
      <c r="T761" t="s">
        <v>74</v>
      </c>
      <c r="U761" t="s">
        <v>74</v>
      </c>
      <c r="V761" t="s">
        <v>11968</v>
      </c>
      <c r="W761" t="s">
        <v>9499</v>
      </c>
      <c r="X761" t="s">
        <v>1988</v>
      </c>
      <c r="Y761" t="s">
        <v>11969</v>
      </c>
      <c r="Z761" t="s">
        <v>11970</v>
      </c>
      <c r="AA761" t="s">
        <v>11971</v>
      </c>
      <c r="AB761" t="s">
        <v>11972</v>
      </c>
      <c r="AC761" t="s">
        <v>74</v>
      </c>
      <c r="AD761" t="s">
        <v>74</v>
      </c>
      <c r="AE761" t="s">
        <v>74</v>
      </c>
      <c r="AF761" t="s">
        <v>74</v>
      </c>
      <c r="AG761">
        <v>0</v>
      </c>
      <c r="AH761">
        <v>0</v>
      </c>
      <c r="AI761">
        <v>0</v>
      </c>
      <c r="AJ761">
        <v>0</v>
      </c>
      <c r="AK761">
        <v>2</v>
      </c>
      <c r="AL761" t="s">
        <v>1715</v>
      </c>
      <c r="AM761" t="s">
        <v>1504</v>
      </c>
      <c r="AN761" t="s">
        <v>1716</v>
      </c>
      <c r="AO761" t="s">
        <v>11973</v>
      </c>
      <c r="AP761" t="s">
        <v>11974</v>
      </c>
      <c r="AQ761" t="s">
        <v>74</v>
      </c>
      <c r="AR761" t="s">
        <v>11975</v>
      </c>
      <c r="AS761" t="s">
        <v>11976</v>
      </c>
      <c r="AT761" t="s">
        <v>11681</v>
      </c>
      <c r="AU761">
        <v>2007</v>
      </c>
      <c r="AV761">
        <v>48</v>
      </c>
      <c r="AW761">
        <v>1</v>
      </c>
      <c r="AX761" t="s">
        <v>74</v>
      </c>
      <c r="AY761" t="s">
        <v>74</v>
      </c>
      <c r="AZ761" t="s">
        <v>74</v>
      </c>
      <c r="BA761" t="s">
        <v>74</v>
      </c>
      <c r="BB761">
        <v>8</v>
      </c>
      <c r="BC761">
        <v>9</v>
      </c>
      <c r="BD761" t="s">
        <v>74</v>
      </c>
      <c r="BE761" t="s">
        <v>74</v>
      </c>
      <c r="BF761" t="s">
        <v>74</v>
      </c>
      <c r="BG761" t="s">
        <v>74</v>
      </c>
      <c r="BH761" t="s">
        <v>74</v>
      </c>
      <c r="BI761">
        <v>2</v>
      </c>
      <c r="BJ761" t="s">
        <v>11977</v>
      </c>
      <c r="BK761" t="s">
        <v>98</v>
      </c>
      <c r="BL761" t="s">
        <v>11977</v>
      </c>
      <c r="BM761" t="s">
        <v>11978</v>
      </c>
      <c r="BN761" t="s">
        <v>74</v>
      </c>
      <c r="BO761" t="s">
        <v>74</v>
      </c>
      <c r="BP761" t="s">
        <v>74</v>
      </c>
      <c r="BQ761" t="s">
        <v>74</v>
      </c>
      <c r="BR761" t="s">
        <v>101</v>
      </c>
      <c r="BS761" t="s">
        <v>11979</v>
      </c>
      <c r="BT761" t="str">
        <f>HYPERLINK("https%3A%2F%2Fwww.webofscience.com%2Fwos%2Fwoscc%2Ffull-record%2FWOS:000243790000014","View Full Record in Web of Science")</f>
        <v>View Full Record in Web of Science</v>
      </c>
    </row>
    <row r="762" spans="1:72" x14ac:dyDescent="0.15">
      <c r="A762" t="s">
        <v>72</v>
      </c>
      <c r="B762" t="s">
        <v>11980</v>
      </c>
      <c r="C762" t="s">
        <v>74</v>
      </c>
      <c r="D762" t="s">
        <v>74</v>
      </c>
      <c r="E762" t="s">
        <v>74</v>
      </c>
      <c r="F762" t="s">
        <v>11981</v>
      </c>
      <c r="G762" t="s">
        <v>74</v>
      </c>
      <c r="H762" t="s">
        <v>74</v>
      </c>
      <c r="I762" t="s">
        <v>11982</v>
      </c>
      <c r="J762" t="s">
        <v>11983</v>
      </c>
      <c r="K762" t="s">
        <v>74</v>
      </c>
      <c r="L762" t="s">
        <v>74</v>
      </c>
      <c r="M762" t="s">
        <v>78</v>
      </c>
      <c r="N762" t="s">
        <v>79</v>
      </c>
      <c r="O762" t="s">
        <v>74</v>
      </c>
      <c r="P762" t="s">
        <v>74</v>
      </c>
      <c r="Q762" t="s">
        <v>74</v>
      </c>
      <c r="R762" t="s">
        <v>74</v>
      </c>
      <c r="S762" t="s">
        <v>74</v>
      </c>
      <c r="T762" t="s">
        <v>11984</v>
      </c>
      <c r="U762" t="s">
        <v>11985</v>
      </c>
      <c r="V762" t="s">
        <v>11986</v>
      </c>
      <c r="W762" t="s">
        <v>11987</v>
      </c>
      <c r="X762" t="s">
        <v>11988</v>
      </c>
      <c r="Y762" t="s">
        <v>11989</v>
      </c>
      <c r="Z762" t="s">
        <v>11990</v>
      </c>
      <c r="AA762" t="s">
        <v>74</v>
      </c>
      <c r="AB762" t="s">
        <v>74</v>
      </c>
      <c r="AC762" t="s">
        <v>74</v>
      </c>
      <c r="AD762" t="s">
        <v>74</v>
      </c>
      <c r="AE762" t="s">
        <v>74</v>
      </c>
      <c r="AF762" t="s">
        <v>74</v>
      </c>
      <c r="AG762">
        <v>37</v>
      </c>
      <c r="AH762">
        <v>1</v>
      </c>
      <c r="AI762">
        <v>1</v>
      </c>
      <c r="AJ762">
        <v>0</v>
      </c>
      <c r="AK762">
        <v>4</v>
      </c>
      <c r="AL762" t="s">
        <v>11991</v>
      </c>
      <c r="AM762" t="s">
        <v>11992</v>
      </c>
      <c r="AN762" t="s">
        <v>11993</v>
      </c>
      <c r="AO762" t="s">
        <v>11994</v>
      </c>
      <c r="AP762" t="s">
        <v>74</v>
      </c>
      <c r="AQ762" t="s">
        <v>74</v>
      </c>
      <c r="AR762" t="s">
        <v>11995</v>
      </c>
      <c r="AS762" t="s">
        <v>11996</v>
      </c>
      <c r="AT762" t="s">
        <v>11681</v>
      </c>
      <c r="AU762">
        <v>2007</v>
      </c>
      <c r="AV762">
        <v>126</v>
      </c>
      <c r="AW762">
        <v>1</v>
      </c>
      <c r="AX762" t="s">
        <v>74</v>
      </c>
      <c r="AY762" t="s">
        <v>74</v>
      </c>
      <c r="AZ762" t="s">
        <v>74</v>
      </c>
      <c r="BA762" t="s">
        <v>74</v>
      </c>
      <c r="BB762">
        <v>71</v>
      </c>
      <c r="BC762">
        <v>87</v>
      </c>
      <c r="BD762" t="s">
        <v>74</v>
      </c>
      <c r="BE762" t="s">
        <v>74</v>
      </c>
      <c r="BF762" t="s">
        <v>74</v>
      </c>
      <c r="BG762" t="s">
        <v>74</v>
      </c>
      <c r="BH762" t="s">
        <v>74</v>
      </c>
      <c r="BI762">
        <v>17</v>
      </c>
      <c r="BJ762" t="s">
        <v>152</v>
      </c>
      <c r="BK762" t="s">
        <v>98</v>
      </c>
      <c r="BL762" t="s">
        <v>152</v>
      </c>
      <c r="BM762" t="s">
        <v>11997</v>
      </c>
      <c r="BN762" t="s">
        <v>74</v>
      </c>
      <c r="BO762" t="s">
        <v>74</v>
      </c>
      <c r="BP762" t="s">
        <v>74</v>
      </c>
      <c r="BQ762" t="s">
        <v>74</v>
      </c>
      <c r="BR762" t="s">
        <v>101</v>
      </c>
      <c r="BS762" t="s">
        <v>11998</v>
      </c>
      <c r="BT762" t="str">
        <f>HYPERLINK("https%3A%2F%2Fwww.webofscience.com%2Fwos%2Fwoscc%2Ffull-record%2FWOS:000245171500006","View Full Record in Web of Science")</f>
        <v>View Full Record in Web of Science</v>
      </c>
    </row>
    <row r="763" spans="1:72" x14ac:dyDescent="0.15">
      <c r="A763" t="s">
        <v>72</v>
      </c>
      <c r="B763" t="s">
        <v>11999</v>
      </c>
      <c r="C763" t="s">
        <v>74</v>
      </c>
      <c r="D763" t="s">
        <v>74</v>
      </c>
      <c r="E763" t="s">
        <v>74</v>
      </c>
      <c r="F763" t="s">
        <v>12000</v>
      </c>
      <c r="G763" t="s">
        <v>74</v>
      </c>
      <c r="H763" t="s">
        <v>74</v>
      </c>
      <c r="I763" t="s">
        <v>12001</v>
      </c>
      <c r="J763" t="s">
        <v>5197</v>
      </c>
      <c r="K763" t="s">
        <v>74</v>
      </c>
      <c r="L763" t="s">
        <v>74</v>
      </c>
      <c r="M763" t="s">
        <v>78</v>
      </c>
      <c r="N763" t="s">
        <v>79</v>
      </c>
      <c r="O763" t="s">
        <v>74</v>
      </c>
      <c r="P763" t="s">
        <v>74</v>
      </c>
      <c r="Q763" t="s">
        <v>74</v>
      </c>
      <c r="R763" t="s">
        <v>74</v>
      </c>
      <c r="S763" t="s">
        <v>74</v>
      </c>
      <c r="T763" t="s">
        <v>12002</v>
      </c>
      <c r="U763" t="s">
        <v>12003</v>
      </c>
      <c r="V763" t="s">
        <v>12004</v>
      </c>
      <c r="W763" t="s">
        <v>12005</v>
      </c>
      <c r="X763" t="s">
        <v>12006</v>
      </c>
      <c r="Y763" t="s">
        <v>12007</v>
      </c>
      <c r="Z763" t="s">
        <v>12008</v>
      </c>
      <c r="AA763" t="s">
        <v>74</v>
      </c>
      <c r="AB763" t="s">
        <v>74</v>
      </c>
      <c r="AC763" t="s">
        <v>74</v>
      </c>
      <c r="AD763" t="s">
        <v>74</v>
      </c>
      <c r="AE763" t="s">
        <v>74</v>
      </c>
      <c r="AF763" t="s">
        <v>74</v>
      </c>
      <c r="AG763">
        <v>16</v>
      </c>
      <c r="AH763">
        <v>9</v>
      </c>
      <c r="AI763">
        <v>14</v>
      </c>
      <c r="AJ763">
        <v>1</v>
      </c>
      <c r="AK763">
        <v>10</v>
      </c>
      <c r="AL763" t="s">
        <v>2709</v>
      </c>
      <c r="AM763" t="s">
        <v>2710</v>
      </c>
      <c r="AN763" t="s">
        <v>2711</v>
      </c>
      <c r="AO763" t="s">
        <v>5207</v>
      </c>
      <c r="AP763" t="s">
        <v>5208</v>
      </c>
      <c r="AQ763" t="s">
        <v>74</v>
      </c>
      <c r="AR763" t="s">
        <v>5209</v>
      </c>
      <c r="AS763" t="s">
        <v>5210</v>
      </c>
      <c r="AT763" t="s">
        <v>11681</v>
      </c>
      <c r="AU763">
        <v>2007</v>
      </c>
      <c r="AV763">
        <v>52</v>
      </c>
      <c r="AW763">
        <v>3</v>
      </c>
      <c r="AX763" t="s">
        <v>74</v>
      </c>
      <c r="AY763" t="s">
        <v>74</v>
      </c>
      <c r="AZ763" t="s">
        <v>74</v>
      </c>
      <c r="BA763" t="s">
        <v>74</v>
      </c>
      <c r="BB763">
        <v>358</v>
      </c>
      <c r="BC763">
        <v>366</v>
      </c>
      <c r="BD763" t="s">
        <v>74</v>
      </c>
      <c r="BE763" t="s">
        <v>12009</v>
      </c>
      <c r="BF763" t="str">
        <f>HYPERLINK("http://dx.doi.org/10.1007/s11434-007-0054-y","http://dx.doi.org/10.1007/s11434-007-0054-y")</f>
        <v>http://dx.doi.org/10.1007/s11434-007-0054-y</v>
      </c>
      <c r="BG763" t="s">
        <v>74</v>
      </c>
      <c r="BH763" t="s">
        <v>74</v>
      </c>
      <c r="BI763">
        <v>9</v>
      </c>
      <c r="BJ763" t="s">
        <v>241</v>
      </c>
      <c r="BK763" t="s">
        <v>98</v>
      </c>
      <c r="BL763" t="s">
        <v>242</v>
      </c>
      <c r="BM763" t="s">
        <v>12010</v>
      </c>
      <c r="BN763" t="s">
        <v>74</v>
      </c>
      <c r="BO763" t="s">
        <v>74</v>
      </c>
      <c r="BP763" t="s">
        <v>74</v>
      </c>
      <c r="BQ763" t="s">
        <v>74</v>
      </c>
      <c r="BR763" t="s">
        <v>101</v>
      </c>
      <c r="BS763" t="s">
        <v>12011</v>
      </c>
      <c r="BT763" t="str">
        <f>HYPERLINK("https%3A%2F%2Fwww.webofscience.com%2Fwos%2Fwoscc%2Ffull-record%2FWOS:000245845900010","View Full Record in Web of Science")</f>
        <v>View Full Record in Web of Science</v>
      </c>
    </row>
    <row r="764" spans="1:72" x14ac:dyDescent="0.15">
      <c r="A764" t="s">
        <v>72</v>
      </c>
      <c r="B764" t="s">
        <v>12012</v>
      </c>
      <c r="C764" t="s">
        <v>74</v>
      </c>
      <c r="D764" t="s">
        <v>74</v>
      </c>
      <c r="E764" t="s">
        <v>74</v>
      </c>
      <c r="F764" t="s">
        <v>12013</v>
      </c>
      <c r="G764" t="s">
        <v>74</v>
      </c>
      <c r="H764" t="s">
        <v>74</v>
      </c>
      <c r="I764" t="s">
        <v>12014</v>
      </c>
      <c r="J764" t="s">
        <v>5197</v>
      </c>
      <c r="K764" t="s">
        <v>74</v>
      </c>
      <c r="L764" t="s">
        <v>74</v>
      </c>
      <c r="M764" t="s">
        <v>78</v>
      </c>
      <c r="N764" t="s">
        <v>79</v>
      </c>
      <c r="O764" t="s">
        <v>74</v>
      </c>
      <c r="P764" t="s">
        <v>74</v>
      </c>
      <c r="Q764" t="s">
        <v>74</v>
      </c>
      <c r="R764" t="s">
        <v>74</v>
      </c>
      <c r="S764" t="s">
        <v>74</v>
      </c>
      <c r="T764" t="s">
        <v>12015</v>
      </c>
      <c r="U764" t="s">
        <v>12016</v>
      </c>
      <c r="V764" t="s">
        <v>12017</v>
      </c>
      <c r="W764" t="s">
        <v>12018</v>
      </c>
      <c r="X764" t="s">
        <v>12019</v>
      </c>
      <c r="Y764" t="s">
        <v>12020</v>
      </c>
      <c r="Z764" t="s">
        <v>12021</v>
      </c>
      <c r="AA764" t="s">
        <v>12022</v>
      </c>
      <c r="AB764" t="s">
        <v>74</v>
      </c>
      <c r="AC764" t="s">
        <v>74</v>
      </c>
      <c r="AD764" t="s">
        <v>74</v>
      </c>
      <c r="AE764" t="s">
        <v>74</v>
      </c>
      <c r="AF764" t="s">
        <v>74</v>
      </c>
      <c r="AG764">
        <v>45</v>
      </c>
      <c r="AH764">
        <v>5</v>
      </c>
      <c r="AI764">
        <v>7</v>
      </c>
      <c r="AJ764">
        <v>3</v>
      </c>
      <c r="AK764">
        <v>11</v>
      </c>
      <c r="AL764" t="s">
        <v>2709</v>
      </c>
      <c r="AM764" t="s">
        <v>2710</v>
      </c>
      <c r="AN764" t="s">
        <v>2711</v>
      </c>
      <c r="AO764" t="s">
        <v>5207</v>
      </c>
      <c r="AP764" t="s">
        <v>5208</v>
      </c>
      <c r="AQ764" t="s">
        <v>74</v>
      </c>
      <c r="AR764" t="s">
        <v>5209</v>
      </c>
      <c r="AS764" t="s">
        <v>5210</v>
      </c>
      <c r="AT764" t="s">
        <v>11681</v>
      </c>
      <c r="AU764">
        <v>2007</v>
      </c>
      <c r="AV764">
        <v>52</v>
      </c>
      <c r="AW764">
        <v>4</v>
      </c>
      <c r="AX764" t="s">
        <v>74</v>
      </c>
      <c r="AY764" t="s">
        <v>74</v>
      </c>
      <c r="AZ764" t="s">
        <v>74</v>
      </c>
      <c r="BA764" t="s">
        <v>74</v>
      </c>
      <c r="BB764">
        <v>545</v>
      </c>
      <c r="BC764">
        <v>552</v>
      </c>
      <c r="BD764" t="s">
        <v>74</v>
      </c>
      <c r="BE764" t="s">
        <v>12023</v>
      </c>
      <c r="BF764" t="str">
        <f>HYPERLINK("http://dx.doi.org/10.1007/s11434-007-0079-2","http://dx.doi.org/10.1007/s11434-007-0079-2")</f>
        <v>http://dx.doi.org/10.1007/s11434-007-0079-2</v>
      </c>
      <c r="BG764" t="s">
        <v>74</v>
      </c>
      <c r="BH764" t="s">
        <v>74</v>
      </c>
      <c r="BI764">
        <v>8</v>
      </c>
      <c r="BJ764" t="s">
        <v>241</v>
      </c>
      <c r="BK764" t="s">
        <v>98</v>
      </c>
      <c r="BL764" t="s">
        <v>242</v>
      </c>
      <c r="BM764" t="s">
        <v>12024</v>
      </c>
      <c r="BN764" t="s">
        <v>74</v>
      </c>
      <c r="BO764" t="s">
        <v>74</v>
      </c>
      <c r="BP764" t="s">
        <v>74</v>
      </c>
      <c r="BQ764" t="s">
        <v>74</v>
      </c>
      <c r="BR764" t="s">
        <v>101</v>
      </c>
      <c r="BS764" t="s">
        <v>12025</v>
      </c>
      <c r="BT764" t="str">
        <f>HYPERLINK("https%3A%2F%2Fwww.webofscience.com%2Fwos%2Fwoscc%2Ffull-record%2FWOS:000245837700018","View Full Record in Web of Science")</f>
        <v>View Full Record in Web of Science</v>
      </c>
    </row>
    <row r="765" spans="1:72" x14ac:dyDescent="0.15">
      <c r="A765" t="s">
        <v>72</v>
      </c>
      <c r="B765" t="s">
        <v>12026</v>
      </c>
      <c r="C765" t="s">
        <v>74</v>
      </c>
      <c r="D765" t="s">
        <v>74</v>
      </c>
      <c r="E765" t="s">
        <v>74</v>
      </c>
      <c r="F765" t="s">
        <v>12027</v>
      </c>
      <c r="G765" t="s">
        <v>74</v>
      </c>
      <c r="H765" t="s">
        <v>74</v>
      </c>
      <c r="I765" t="s">
        <v>12028</v>
      </c>
      <c r="J765" t="s">
        <v>5197</v>
      </c>
      <c r="K765" t="s">
        <v>74</v>
      </c>
      <c r="L765" t="s">
        <v>74</v>
      </c>
      <c r="M765" t="s">
        <v>78</v>
      </c>
      <c r="N765" t="s">
        <v>79</v>
      </c>
      <c r="O765" t="s">
        <v>74</v>
      </c>
      <c r="P765" t="s">
        <v>74</v>
      </c>
      <c r="Q765" t="s">
        <v>74</v>
      </c>
      <c r="R765" t="s">
        <v>74</v>
      </c>
      <c r="S765" t="s">
        <v>74</v>
      </c>
      <c r="T765" t="s">
        <v>12029</v>
      </c>
      <c r="U765" t="s">
        <v>12030</v>
      </c>
      <c r="V765" t="s">
        <v>12031</v>
      </c>
      <c r="W765" t="s">
        <v>2724</v>
      </c>
      <c r="X765" t="s">
        <v>2725</v>
      </c>
      <c r="Y765" t="s">
        <v>12032</v>
      </c>
      <c r="Z765" t="s">
        <v>12033</v>
      </c>
      <c r="AA765" t="s">
        <v>74</v>
      </c>
      <c r="AB765" t="s">
        <v>74</v>
      </c>
      <c r="AC765" t="s">
        <v>74</v>
      </c>
      <c r="AD765" t="s">
        <v>74</v>
      </c>
      <c r="AE765" t="s">
        <v>74</v>
      </c>
      <c r="AF765" t="s">
        <v>74</v>
      </c>
      <c r="AG765">
        <v>23</v>
      </c>
      <c r="AH765">
        <v>78</v>
      </c>
      <c r="AI765">
        <v>83</v>
      </c>
      <c r="AJ765">
        <v>3</v>
      </c>
      <c r="AK765">
        <v>33</v>
      </c>
      <c r="AL765" t="s">
        <v>12034</v>
      </c>
      <c r="AM765" t="s">
        <v>2710</v>
      </c>
      <c r="AN765" t="s">
        <v>2711</v>
      </c>
      <c r="AO765" t="s">
        <v>5207</v>
      </c>
      <c r="AP765" t="s">
        <v>74</v>
      </c>
      <c r="AQ765" t="s">
        <v>74</v>
      </c>
      <c r="AR765" t="s">
        <v>5209</v>
      </c>
      <c r="AS765" t="s">
        <v>5210</v>
      </c>
      <c r="AT765" t="s">
        <v>11681</v>
      </c>
      <c r="AU765">
        <v>2007</v>
      </c>
      <c r="AV765">
        <v>52</v>
      </c>
      <c r="AW765">
        <v>4</v>
      </c>
      <c r="AX765" t="s">
        <v>74</v>
      </c>
      <c r="AY765" t="s">
        <v>74</v>
      </c>
      <c r="AZ765" t="s">
        <v>74</v>
      </c>
      <c r="BA765" t="s">
        <v>74</v>
      </c>
      <c r="BB765">
        <v>561</v>
      </c>
      <c r="BC765">
        <v>565</v>
      </c>
      <c r="BD765" t="s">
        <v>74</v>
      </c>
      <c r="BE765" t="s">
        <v>12035</v>
      </c>
      <c r="BF765" t="str">
        <f>HYPERLINK("http://dx.doi.org/10.1007/s11434-007-0040-4","http://dx.doi.org/10.1007/s11434-007-0040-4")</f>
        <v>http://dx.doi.org/10.1007/s11434-007-0040-4</v>
      </c>
      <c r="BG765" t="s">
        <v>74</v>
      </c>
      <c r="BH765" t="s">
        <v>74</v>
      </c>
      <c r="BI765">
        <v>5</v>
      </c>
      <c r="BJ765" t="s">
        <v>241</v>
      </c>
      <c r="BK765" t="s">
        <v>98</v>
      </c>
      <c r="BL765" t="s">
        <v>242</v>
      </c>
      <c r="BM765" t="s">
        <v>12024</v>
      </c>
      <c r="BN765" t="s">
        <v>74</v>
      </c>
      <c r="BO765" t="s">
        <v>74</v>
      </c>
      <c r="BP765" t="s">
        <v>74</v>
      </c>
      <c r="BQ765" t="s">
        <v>74</v>
      </c>
      <c r="BR765" t="s">
        <v>101</v>
      </c>
      <c r="BS765" t="s">
        <v>12036</v>
      </c>
      <c r="BT765" t="str">
        <f>HYPERLINK("https%3A%2F%2Fwww.webofscience.com%2Fwos%2Fwoscc%2Ffull-record%2FWOS:000245837700020","View Full Record in Web of Science")</f>
        <v>View Full Record in Web of Science</v>
      </c>
    </row>
    <row r="766" spans="1:72" x14ac:dyDescent="0.15">
      <c r="A766" t="s">
        <v>72</v>
      </c>
      <c r="B766" t="s">
        <v>12037</v>
      </c>
      <c r="C766" t="s">
        <v>74</v>
      </c>
      <c r="D766" t="s">
        <v>74</v>
      </c>
      <c r="E766" t="s">
        <v>74</v>
      </c>
      <c r="F766" t="s">
        <v>12038</v>
      </c>
      <c r="G766" t="s">
        <v>74</v>
      </c>
      <c r="H766" t="s">
        <v>74</v>
      </c>
      <c r="I766" t="s">
        <v>12039</v>
      </c>
      <c r="J766" t="s">
        <v>7190</v>
      </c>
      <c r="K766" t="s">
        <v>74</v>
      </c>
      <c r="L766" t="s">
        <v>74</v>
      </c>
      <c r="M766" t="s">
        <v>78</v>
      </c>
      <c r="N766" t="s">
        <v>79</v>
      </c>
      <c r="O766" t="s">
        <v>74</v>
      </c>
      <c r="P766" t="s">
        <v>74</v>
      </c>
      <c r="Q766" t="s">
        <v>74</v>
      </c>
      <c r="R766" t="s">
        <v>74</v>
      </c>
      <c r="S766" t="s">
        <v>74</v>
      </c>
      <c r="T766" t="s">
        <v>74</v>
      </c>
      <c r="U766" t="s">
        <v>12040</v>
      </c>
      <c r="V766" t="s">
        <v>12041</v>
      </c>
      <c r="W766" t="s">
        <v>12042</v>
      </c>
      <c r="X766" t="s">
        <v>12043</v>
      </c>
      <c r="Y766" t="s">
        <v>12044</v>
      </c>
      <c r="Z766" t="s">
        <v>12045</v>
      </c>
      <c r="AA766" t="s">
        <v>12046</v>
      </c>
      <c r="AB766" t="s">
        <v>12047</v>
      </c>
      <c r="AC766" t="s">
        <v>74</v>
      </c>
      <c r="AD766" t="s">
        <v>74</v>
      </c>
      <c r="AE766" t="s">
        <v>74</v>
      </c>
      <c r="AF766" t="s">
        <v>74</v>
      </c>
      <c r="AG766">
        <v>94</v>
      </c>
      <c r="AH766">
        <v>136</v>
      </c>
      <c r="AI766">
        <v>148</v>
      </c>
      <c r="AJ766">
        <v>0</v>
      </c>
      <c r="AK766">
        <v>17</v>
      </c>
      <c r="AL766" t="s">
        <v>1592</v>
      </c>
      <c r="AM766" t="s">
        <v>1593</v>
      </c>
      <c r="AN766" t="s">
        <v>2406</v>
      </c>
      <c r="AO766" t="s">
        <v>7199</v>
      </c>
      <c r="AP766" t="s">
        <v>7200</v>
      </c>
      <c r="AQ766" t="s">
        <v>74</v>
      </c>
      <c r="AR766" t="s">
        <v>7201</v>
      </c>
      <c r="AS766" t="s">
        <v>7202</v>
      </c>
      <c r="AT766" t="s">
        <v>11681</v>
      </c>
      <c r="AU766">
        <v>2007</v>
      </c>
      <c r="AV766">
        <v>28</v>
      </c>
      <c r="AW766" t="s">
        <v>2608</v>
      </c>
      <c r="AX766" t="s">
        <v>74</v>
      </c>
      <c r="AY766" t="s">
        <v>74</v>
      </c>
      <c r="AZ766" t="s">
        <v>74</v>
      </c>
      <c r="BA766" t="s">
        <v>74</v>
      </c>
      <c r="BB766">
        <v>215</v>
      </c>
      <c r="BC766">
        <v>230</v>
      </c>
      <c r="BD766" t="s">
        <v>74</v>
      </c>
      <c r="BE766" t="s">
        <v>12048</v>
      </c>
      <c r="BF766" t="str">
        <f>HYPERLINK("http://dx.doi.org/10.1007/s00382-006-0177-x","http://dx.doi.org/10.1007/s00382-006-0177-x")</f>
        <v>http://dx.doi.org/10.1007/s00382-006-0177-x</v>
      </c>
      <c r="BG766" t="s">
        <v>74</v>
      </c>
      <c r="BH766" t="s">
        <v>74</v>
      </c>
      <c r="BI766">
        <v>16</v>
      </c>
      <c r="BJ766" t="s">
        <v>435</v>
      </c>
      <c r="BK766" t="s">
        <v>98</v>
      </c>
      <c r="BL766" t="s">
        <v>435</v>
      </c>
      <c r="BM766" t="s">
        <v>12049</v>
      </c>
      <c r="BN766" t="s">
        <v>74</v>
      </c>
      <c r="BO766" t="s">
        <v>1249</v>
      </c>
      <c r="BP766" t="s">
        <v>74</v>
      </c>
      <c r="BQ766" t="s">
        <v>74</v>
      </c>
      <c r="BR766" t="s">
        <v>101</v>
      </c>
      <c r="BS766" t="s">
        <v>12050</v>
      </c>
      <c r="BT766" t="str">
        <f>HYPERLINK("https%3A%2F%2Fwww.webofscience.com%2Fwos%2Fwoscc%2Ffull-record%2FWOS:000242814000007","View Full Record in Web of Science")</f>
        <v>View Full Record in Web of Science</v>
      </c>
    </row>
    <row r="767" spans="1:72" x14ac:dyDescent="0.15">
      <c r="A767" t="s">
        <v>72</v>
      </c>
      <c r="B767" t="s">
        <v>8530</v>
      </c>
      <c r="C767" t="s">
        <v>74</v>
      </c>
      <c r="D767" t="s">
        <v>74</v>
      </c>
      <c r="E767" t="s">
        <v>74</v>
      </c>
      <c r="F767" t="s">
        <v>8531</v>
      </c>
      <c r="G767" t="s">
        <v>74</v>
      </c>
      <c r="H767" t="s">
        <v>74</v>
      </c>
      <c r="I767" t="s">
        <v>12051</v>
      </c>
      <c r="J767" t="s">
        <v>8533</v>
      </c>
      <c r="K767" t="s">
        <v>74</v>
      </c>
      <c r="L767" t="s">
        <v>74</v>
      </c>
      <c r="M767" t="s">
        <v>78</v>
      </c>
      <c r="N767" t="s">
        <v>79</v>
      </c>
      <c r="O767" t="s">
        <v>74</v>
      </c>
      <c r="P767" t="s">
        <v>74</v>
      </c>
      <c r="Q767" t="s">
        <v>74</v>
      </c>
      <c r="R767" t="s">
        <v>74</v>
      </c>
      <c r="S767" t="s">
        <v>74</v>
      </c>
      <c r="T767" t="s">
        <v>74</v>
      </c>
      <c r="U767" t="s">
        <v>12052</v>
      </c>
      <c r="V767" t="s">
        <v>12053</v>
      </c>
      <c r="W767" t="s">
        <v>12054</v>
      </c>
      <c r="X767" t="s">
        <v>12055</v>
      </c>
      <c r="Y767" t="s">
        <v>12056</v>
      </c>
      <c r="Z767" t="s">
        <v>74</v>
      </c>
      <c r="AA767" t="s">
        <v>12057</v>
      </c>
      <c r="AB767" t="s">
        <v>8541</v>
      </c>
      <c r="AC767" t="s">
        <v>167</v>
      </c>
      <c r="AD767" t="s">
        <v>140</v>
      </c>
      <c r="AE767" t="s">
        <v>74</v>
      </c>
      <c r="AF767" t="s">
        <v>74</v>
      </c>
      <c r="AG767">
        <v>30</v>
      </c>
      <c r="AH767">
        <v>0</v>
      </c>
      <c r="AI767">
        <v>0</v>
      </c>
      <c r="AJ767">
        <v>0</v>
      </c>
      <c r="AK767">
        <v>4</v>
      </c>
      <c r="AL767" t="s">
        <v>1677</v>
      </c>
      <c r="AM767" t="s">
        <v>1593</v>
      </c>
      <c r="AN767" t="s">
        <v>1678</v>
      </c>
      <c r="AO767" t="s">
        <v>8542</v>
      </c>
      <c r="AP767" t="s">
        <v>74</v>
      </c>
      <c r="AQ767" t="s">
        <v>74</v>
      </c>
      <c r="AR767" t="s">
        <v>8544</v>
      </c>
      <c r="AS767" t="s">
        <v>8545</v>
      </c>
      <c r="AT767" t="s">
        <v>11681</v>
      </c>
      <c r="AU767">
        <v>2007</v>
      </c>
      <c r="AV767">
        <v>45</v>
      </c>
      <c r="AW767">
        <v>1</v>
      </c>
      <c r="AX767" t="s">
        <v>74</v>
      </c>
      <c r="AY767" t="s">
        <v>74</v>
      </c>
      <c r="AZ767" t="s">
        <v>74</v>
      </c>
      <c r="BA767" t="s">
        <v>74</v>
      </c>
      <c r="BB767">
        <v>27</v>
      </c>
      <c r="BC767">
        <v>38</v>
      </c>
      <c r="BD767" t="s">
        <v>74</v>
      </c>
      <c r="BE767" t="s">
        <v>12058</v>
      </c>
      <c r="BF767" t="str">
        <f>HYPERLINK("http://dx.doi.org/10.1134/S0010952507010042","http://dx.doi.org/10.1134/S0010952507010042")</f>
        <v>http://dx.doi.org/10.1134/S0010952507010042</v>
      </c>
      <c r="BG767" t="s">
        <v>74</v>
      </c>
      <c r="BH767" t="s">
        <v>74</v>
      </c>
      <c r="BI767">
        <v>12</v>
      </c>
      <c r="BJ767" t="s">
        <v>8547</v>
      </c>
      <c r="BK767" t="s">
        <v>98</v>
      </c>
      <c r="BL767" t="s">
        <v>8548</v>
      </c>
      <c r="BM767" t="s">
        <v>12059</v>
      </c>
      <c r="BN767" t="s">
        <v>74</v>
      </c>
      <c r="BO767" t="s">
        <v>74</v>
      </c>
      <c r="BP767" t="s">
        <v>74</v>
      </c>
      <c r="BQ767" t="s">
        <v>74</v>
      </c>
      <c r="BR767" t="s">
        <v>101</v>
      </c>
      <c r="BS767" t="s">
        <v>12060</v>
      </c>
      <c r="BT767" t="str">
        <f>HYPERLINK("https%3A%2F%2Fwww.webofscience.com%2Fwos%2Fwoscc%2Ffull-record%2FWOS:000244499200004","View Full Record in Web of Science")</f>
        <v>View Full Record in Web of Science</v>
      </c>
    </row>
    <row r="768" spans="1:72" x14ac:dyDescent="0.15">
      <c r="A768" t="s">
        <v>72</v>
      </c>
      <c r="B768" t="s">
        <v>12061</v>
      </c>
      <c r="C768" t="s">
        <v>74</v>
      </c>
      <c r="D768" t="s">
        <v>74</v>
      </c>
      <c r="E768" t="s">
        <v>74</v>
      </c>
      <c r="F768" t="s">
        <v>12062</v>
      </c>
      <c r="G768" t="s">
        <v>74</v>
      </c>
      <c r="H768" t="s">
        <v>74</v>
      </c>
      <c r="I768" t="s">
        <v>12063</v>
      </c>
      <c r="J768" t="s">
        <v>12064</v>
      </c>
      <c r="K768" t="s">
        <v>74</v>
      </c>
      <c r="L768" t="s">
        <v>74</v>
      </c>
      <c r="M768" t="s">
        <v>78</v>
      </c>
      <c r="N768" t="s">
        <v>79</v>
      </c>
      <c r="O768" t="s">
        <v>74</v>
      </c>
      <c r="P768" t="s">
        <v>74</v>
      </c>
      <c r="Q768" t="s">
        <v>74</v>
      </c>
      <c r="R768" t="s">
        <v>74</v>
      </c>
      <c r="S768" t="s">
        <v>74</v>
      </c>
      <c r="T768" t="s">
        <v>74</v>
      </c>
      <c r="U768" t="s">
        <v>12065</v>
      </c>
      <c r="V768" t="s">
        <v>12066</v>
      </c>
      <c r="W768" t="s">
        <v>12067</v>
      </c>
      <c r="X768" t="s">
        <v>12068</v>
      </c>
      <c r="Y768" t="s">
        <v>12069</v>
      </c>
      <c r="Z768" t="s">
        <v>12070</v>
      </c>
      <c r="AA768" t="s">
        <v>74</v>
      </c>
      <c r="AB768" t="s">
        <v>74</v>
      </c>
      <c r="AC768" t="s">
        <v>74</v>
      </c>
      <c r="AD768" t="s">
        <v>74</v>
      </c>
      <c r="AE768" t="s">
        <v>74</v>
      </c>
      <c r="AF768" t="s">
        <v>74</v>
      </c>
      <c r="AG768">
        <v>40</v>
      </c>
      <c r="AH768">
        <v>53</v>
      </c>
      <c r="AI768">
        <v>60</v>
      </c>
      <c r="AJ768">
        <v>1</v>
      </c>
      <c r="AK768">
        <v>13</v>
      </c>
      <c r="AL768" t="s">
        <v>1592</v>
      </c>
      <c r="AM768" t="s">
        <v>1593</v>
      </c>
      <c r="AN768" t="s">
        <v>2406</v>
      </c>
      <c r="AO768" t="s">
        <v>12071</v>
      </c>
      <c r="AP768" t="s">
        <v>12072</v>
      </c>
      <c r="AQ768" t="s">
        <v>74</v>
      </c>
      <c r="AR768" t="s">
        <v>12073</v>
      </c>
      <c r="AS768" t="s">
        <v>12074</v>
      </c>
      <c r="AT768" t="s">
        <v>11681</v>
      </c>
      <c r="AU768">
        <v>2007</v>
      </c>
      <c r="AV768">
        <v>54</v>
      </c>
      <c r="AW768">
        <v>2</v>
      </c>
      <c r="AX768" t="s">
        <v>74</v>
      </c>
      <c r="AY768" t="s">
        <v>74</v>
      </c>
      <c r="AZ768" t="s">
        <v>74</v>
      </c>
      <c r="BA768" t="s">
        <v>74</v>
      </c>
      <c r="BB768">
        <v>136</v>
      </c>
      <c r="BC768">
        <v>141</v>
      </c>
      <c r="BD768" t="s">
        <v>74</v>
      </c>
      <c r="BE768" t="s">
        <v>12075</v>
      </c>
      <c r="BF768" t="str">
        <f>HYPERLINK("http://dx.doi.org/10.1007/s00284-006-0345-6","http://dx.doi.org/10.1007/s00284-006-0345-6")</f>
        <v>http://dx.doi.org/10.1007/s00284-006-0345-6</v>
      </c>
      <c r="BG768" t="s">
        <v>74</v>
      </c>
      <c r="BH768" t="s">
        <v>74</v>
      </c>
      <c r="BI768">
        <v>6</v>
      </c>
      <c r="BJ768" t="s">
        <v>1722</v>
      </c>
      <c r="BK768" t="s">
        <v>98</v>
      </c>
      <c r="BL768" t="s">
        <v>1722</v>
      </c>
      <c r="BM768" t="s">
        <v>12076</v>
      </c>
      <c r="BN768">
        <v>17211540</v>
      </c>
      <c r="BO768" t="s">
        <v>74</v>
      </c>
      <c r="BP768" t="s">
        <v>74</v>
      </c>
      <c r="BQ768" t="s">
        <v>74</v>
      </c>
      <c r="BR768" t="s">
        <v>101</v>
      </c>
      <c r="BS768" t="s">
        <v>12077</v>
      </c>
      <c r="BT768" t="str">
        <f>HYPERLINK("https%3A%2F%2Fwww.webofscience.com%2Fwos%2Fwoscc%2Ffull-record%2FWOS:000243462300011","View Full Record in Web of Science")</f>
        <v>View Full Record in Web of Science</v>
      </c>
    </row>
    <row r="769" spans="1:72" x14ac:dyDescent="0.15">
      <c r="A769" t="s">
        <v>72</v>
      </c>
      <c r="B769" t="s">
        <v>12078</v>
      </c>
      <c r="C769" t="s">
        <v>74</v>
      </c>
      <c r="D769" t="s">
        <v>74</v>
      </c>
      <c r="E769" t="s">
        <v>74</v>
      </c>
      <c r="F769" t="s">
        <v>12079</v>
      </c>
      <c r="G769" t="s">
        <v>74</v>
      </c>
      <c r="H769" t="s">
        <v>74</v>
      </c>
      <c r="I769" t="s">
        <v>12080</v>
      </c>
      <c r="J769" t="s">
        <v>1651</v>
      </c>
      <c r="K769" t="s">
        <v>74</v>
      </c>
      <c r="L769" t="s">
        <v>74</v>
      </c>
      <c r="M769" t="s">
        <v>78</v>
      </c>
      <c r="N769" t="s">
        <v>79</v>
      </c>
      <c r="O769" t="s">
        <v>74</v>
      </c>
      <c r="P769" t="s">
        <v>74</v>
      </c>
      <c r="Q769" t="s">
        <v>74</v>
      </c>
      <c r="R769" t="s">
        <v>74</v>
      </c>
      <c r="S769" t="s">
        <v>74</v>
      </c>
      <c r="T769" t="s">
        <v>12081</v>
      </c>
      <c r="U769" t="s">
        <v>12082</v>
      </c>
      <c r="V769" t="s">
        <v>12083</v>
      </c>
      <c r="W769" t="s">
        <v>12084</v>
      </c>
      <c r="X769" t="s">
        <v>12085</v>
      </c>
      <c r="Y769" t="s">
        <v>12086</v>
      </c>
      <c r="Z769" t="s">
        <v>12087</v>
      </c>
      <c r="AA769" t="s">
        <v>12088</v>
      </c>
      <c r="AB769" t="s">
        <v>12089</v>
      </c>
      <c r="AC769" t="s">
        <v>74</v>
      </c>
      <c r="AD769" t="s">
        <v>74</v>
      </c>
      <c r="AE769" t="s">
        <v>74</v>
      </c>
      <c r="AF769" t="s">
        <v>74</v>
      </c>
      <c r="AG769">
        <v>42</v>
      </c>
      <c r="AH769">
        <v>26</v>
      </c>
      <c r="AI769">
        <v>29</v>
      </c>
      <c r="AJ769">
        <v>0</v>
      </c>
      <c r="AK769">
        <v>20</v>
      </c>
      <c r="AL769" t="s">
        <v>1503</v>
      </c>
      <c r="AM769" t="s">
        <v>1504</v>
      </c>
      <c r="AN769" t="s">
        <v>1505</v>
      </c>
      <c r="AO769" t="s">
        <v>1661</v>
      </c>
      <c r="AP769" t="s">
        <v>1662</v>
      </c>
      <c r="AQ769" t="s">
        <v>74</v>
      </c>
      <c r="AR769" t="s">
        <v>1663</v>
      </c>
      <c r="AS769" t="s">
        <v>1664</v>
      </c>
      <c r="AT769" t="s">
        <v>11681</v>
      </c>
      <c r="AU769">
        <v>2007</v>
      </c>
      <c r="AV769">
        <v>54</v>
      </c>
      <c r="AW769">
        <v>2</v>
      </c>
      <c r="AX769" t="s">
        <v>74</v>
      </c>
      <c r="AY769" t="s">
        <v>74</v>
      </c>
      <c r="AZ769" t="s">
        <v>74</v>
      </c>
      <c r="BA769" t="s">
        <v>74</v>
      </c>
      <c r="BB769">
        <v>243</v>
      </c>
      <c r="BC769">
        <v>252</v>
      </c>
      <c r="BD769" t="s">
        <v>74</v>
      </c>
      <c r="BE769" t="s">
        <v>12090</v>
      </c>
      <c r="BF769" t="str">
        <f>HYPERLINK("http://dx.doi.org/10.1016/j.dsr.2006.11.001","http://dx.doi.org/10.1016/j.dsr.2006.11.001")</f>
        <v>http://dx.doi.org/10.1016/j.dsr.2006.11.001</v>
      </c>
      <c r="BG769" t="s">
        <v>74</v>
      </c>
      <c r="BH769" t="s">
        <v>74</v>
      </c>
      <c r="BI769">
        <v>10</v>
      </c>
      <c r="BJ769" t="s">
        <v>221</v>
      </c>
      <c r="BK769" t="s">
        <v>98</v>
      </c>
      <c r="BL769" t="s">
        <v>221</v>
      </c>
      <c r="BM769" t="s">
        <v>12091</v>
      </c>
      <c r="BN769" t="s">
        <v>74</v>
      </c>
      <c r="BO769" t="s">
        <v>74</v>
      </c>
      <c r="BP769" t="s">
        <v>74</v>
      </c>
      <c r="BQ769" t="s">
        <v>74</v>
      </c>
      <c r="BR769" t="s">
        <v>101</v>
      </c>
      <c r="BS769" t="s">
        <v>12092</v>
      </c>
      <c r="BT769" t="str">
        <f>HYPERLINK("https%3A%2F%2Fwww.webofscience.com%2Fwos%2Fwoscc%2Ffull-record%2FWOS:000244828700006","View Full Record in Web of Science")</f>
        <v>View Full Record in Web of Science</v>
      </c>
    </row>
    <row r="770" spans="1:72" x14ac:dyDescent="0.15">
      <c r="A770" t="s">
        <v>72</v>
      </c>
      <c r="B770" t="s">
        <v>12093</v>
      </c>
      <c r="C770" t="s">
        <v>74</v>
      </c>
      <c r="D770" t="s">
        <v>74</v>
      </c>
      <c r="E770" t="s">
        <v>74</v>
      </c>
      <c r="F770" t="s">
        <v>12094</v>
      </c>
      <c r="G770" t="s">
        <v>74</v>
      </c>
      <c r="H770" t="s">
        <v>74</v>
      </c>
      <c r="I770" t="s">
        <v>12095</v>
      </c>
      <c r="J770" t="s">
        <v>12096</v>
      </c>
      <c r="K770" t="s">
        <v>74</v>
      </c>
      <c r="L770" t="s">
        <v>74</v>
      </c>
      <c r="M770" t="s">
        <v>78</v>
      </c>
      <c r="N770" t="s">
        <v>79</v>
      </c>
      <c r="O770" t="s">
        <v>74</v>
      </c>
      <c r="P770" t="s">
        <v>74</v>
      </c>
      <c r="Q770" t="s">
        <v>74</v>
      </c>
      <c r="R770" t="s">
        <v>74</v>
      </c>
      <c r="S770" t="s">
        <v>74</v>
      </c>
      <c r="T770" t="s">
        <v>12097</v>
      </c>
      <c r="U770" t="s">
        <v>12098</v>
      </c>
      <c r="V770" t="s">
        <v>12099</v>
      </c>
      <c r="W770" t="s">
        <v>12100</v>
      </c>
      <c r="X770" t="s">
        <v>12101</v>
      </c>
      <c r="Y770" t="s">
        <v>12102</v>
      </c>
      <c r="Z770" t="s">
        <v>12103</v>
      </c>
      <c r="AA770" t="s">
        <v>74</v>
      </c>
      <c r="AB770" t="s">
        <v>74</v>
      </c>
      <c r="AC770" t="s">
        <v>12104</v>
      </c>
      <c r="AD770" t="s">
        <v>12105</v>
      </c>
      <c r="AE770" t="s">
        <v>74</v>
      </c>
      <c r="AF770" t="s">
        <v>74</v>
      </c>
      <c r="AG770">
        <v>50</v>
      </c>
      <c r="AH770">
        <v>10</v>
      </c>
      <c r="AI770">
        <v>11</v>
      </c>
      <c r="AJ770">
        <v>0</v>
      </c>
      <c r="AK770">
        <v>10</v>
      </c>
      <c r="AL770" t="s">
        <v>1592</v>
      </c>
      <c r="AM770" t="s">
        <v>1593</v>
      </c>
      <c r="AN770" t="s">
        <v>1594</v>
      </c>
      <c r="AO770" t="s">
        <v>12106</v>
      </c>
      <c r="AP770" t="s">
        <v>12107</v>
      </c>
      <c r="AQ770" t="s">
        <v>74</v>
      </c>
      <c r="AR770" t="s">
        <v>12096</v>
      </c>
      <c r="AS770" t="s">
        <v>12108</v>
      </c>
      <c r="AT770" t="s">
        <v>11681</v>
      </c>
      <c r="AU770">
        <v>2007</v>
      </c>
      <c r="AV770">
        <v>10</v>
      </c>
      <c r="AW770">
        <v>1</v>
      </c>
      <c r="AX770" t="s">
        <v>74</v>
      </c>
      <c r="AY770" t="s">
        <v>74</v>
      </c>
      <c r="AZ770" t="s">
        <v>74</v>
      </c>
      <c r="BA770" t="s">
        <v>74</v>
      </c>
      <c r="BB770">
        <v>86</v>
      </c>
      <c r="BC770">
        <v>94</v>
      </c>
      <c r="BD770" t="s">
        <v>74</v>
      </c>
      <c r="BE770" t="s">
        <v>12109</v>
      </c>
      <c r="BF770" t="str">
        <f>HYPERLINK("http://dx.doi.org/10.1007/s10021-006-9005-8","http://dx.doi.org/10.1007/s10021-006-9005-8")</f>
        <v>http://dx.doi.org/10.1007/s10021-006-9005-8</v>
      </c>
      <c r="BG770" t="s">
        <v>74</v>
      </c>
      <c r="BH770" t="s">
        <v>74</v>
      </c>
      <c r="BI770">
        <v>9</v>
      </c>
      <c r="BJ770" t="s">
        <v>910</v>
      </c>
      <c r="BK770" t="s">
        <v>98</v>
      </c>
      <c r="BL770" t="s">
        <v>911</v>
      </c>
      <c r="BM770" t="s">
        <v>12110</v>
      </c>
      <c r="BN770" t="s">
        <v>74</v>
      </c>
      <c r="BO770" t="s">
        <v>74</v>
      </c>
      <c r="BP770" t="s">
        <v>74</v>
      </c>
      <c r="BQ770" t="s">
        <v>74</v>
      </c>
      <c r="BR770" t="s">
        <v>101</v>
      </c>
      <c r="BS770" t="s">
        <v>12111</v>
      </c>
      <c r="BT770" t="str">
        <f>HYPERLINK("https%3A%2F%2Fwww.webofscience.com%2Fwos%2Fwoscc%2Ffull-record%2FWOS:000246766000009","View Full Record in Web of Science")</f>
        <v>View Full Record in Web of Science</v>
      </c>
    </row>
    <row r="771" spans="1:72" x14ac:dyDescent="0.15">
      <c r="A771" t="s">
        <v>72</v>
      </c>
      <c r="B771" t="s">
        <v>12112</v>
      </c>
      <c r="C771" t="s">
        <v>74</v>
      </c>
      <c r="D771" t="s">
        <v>74</v>
      </c>
      <c r="E771" t="s">
        <v>74</v>
      </c>
      <c r="F771" t="s">
        <v>12113</v>
      </c>
      <c r="G771" t="s">
        <v>74</v>
      </c>
      <c r="H771" t="s">
        <v>74</v>
      </c>
      <c r="I771" t="s">
        <v>12114</v>
      </c>
      <c r="J771" t="s">
        <v>12096</v>
      </c>
      <c r="K771" t="s">
        <v>74</v>
      </c>
      <c r="L771" t="s">
        <v>74</v>
      </c>
      <c r="M771" t="s">
        <v>78</v>
      </c>
      <c r="N771" t="s">
        <v>79</v>
      </c>
      <c r="O771" t="s">
        <v>74</v>
      </c>
      <c r="P771" t="s">
        <v>74</v>
      </c>
      <c r="Q771" t="s">
        <v>74</v>
      </c>
      <c r="R771" t="s">
        <v>74</v>
      </c>
      <c r="S771" t="s">
        <v>74</v>
      </c>
      <c r="T771" t="s">
        <v>12115</v>
      </c>
      <c r="U771" t="s">
        <v>12116</v>
      </c>
      <c r="V771" t="s">
        <v>12117</v>
      </c>
      <c r="W771" t="s">
        <v>12118</v>
      </c>
      <c r="X771" t="s">
        <v>12119</v>
      </c>
      <c r="Y771" t="s">
        <v>12120</v>
      </c>
      <c r="Z771" t="s">
        <v>12121</v>
      </c>
      <c r="AA771" t="s">
        <v>74</v>
      </c>
      <c r="AB771" t="s">
        <v>9093</v>
      </c>
      <c r="AC771" t="s">
        <v>74</v>
      </c>
      <c r="AD771" t="s">
        <v>74</v>
      </c>
      <c r="AE771" t="s">
        <v>74</v>
      </c>
      <c r="AF771" t="s">
        <v>74</v>
      </c>
      <c r="AG771">
        <v>58</v>
      </c>
      <c r="AH771">
        <v>26</v>
      </c>
      <c r="AI771">
        <v>30</v>
      </c>
      <c r="AJ771">
        <v>1</v>
      </c>
      <c r="AK771">
        <v>24</v>
      </c>
      <c r="AL771" t="s">
        <v>1592</v>
      </c>
      <c r="AM771" t="s">
        <v>1593</v>
      </c>
      <c r="AN771" t="s">
        <v>2406</v>
      </c>
      <c r="AO771" t="s">
        <v>12106</v>
      </c>
      <c r="AP771" t="s">
        <v>12107</v>
      </c>
      <c r="AQ771" t="s">
        <v>74</v>
      </c>
      <c r="AR771" t="s">
        <v>12096</v>
      </c>
      <c r="AS771" t="s">
        <v>12108</v>
      </c>
      <c r="AT771" t="s">
        <v>11681</v>
      </c>
      <c r="AU771">
        <v>2007</v>
      </c>
      <c r="AV771">
        <v>10</v>
      </c>
      <c r="AW771">
        <v>1</v>
      </c>
      <c r="AX771" t="s">
        <v>74</v>
      </c>
      <c r="AY771" t="s">
        <v>74</v>
      </c>
      <c r="AZ771" t="s">
        <v>74</v>
      </c>
      <c r="BA771" t="s">
        <v>74</v>
      </c>
      <c r="BB771">
        <v>119</v>
      </c>
      <c r="BC771">
        <v>126</v>
      </c>
      <c r="BD771" t="s">
        <v>74</v>
      </c>
      <c r="BE771" t="s">
        <v>12122</v>
      </c>
      <c r="BF771" t="str">
        <f>HYPERLINK("http://dx.doi.org/10.1007/s10021-006-9003-x","http://dx.doi.org/10.1007/s10021-006-9003-x")</f>
        <v>http://dx.doi.org/10.1007/s10021-006-9003-x</v>
      </c>
      <c r="BG771" t="s">
        <v>74</v>
      </c>
      <c r="BH771" t="s">
        <v>74</v>
      </c>
      <c r="BI771">
        <v>8</v>
      </c>
      <c r="BJ771" t="s">
        <v>910</v>
      </c>
      <c r="BK771" t="s">
        <v>98</v>
      </c>
      <c r="BL771" t="s">
        <v>911</v>
      </c>
      <c r="BM771" t="s">
        <v>12110</v>
      </c>
      <c r="BN771" t="s">
        <v>74</v>
      </c>
      <c r="BO771" t="s">
        <v>74</v>
      </c>
      <c r="BP771" t="s">
        <v>74</v>
      </c>
      <c r="BQ771" t="s">
        <v>74</v>
      </c>
      <c r="BR771" t="s">
        <v>101</v>
      </c>
      <c r="BS771" t="s">
        <v>12123</v>
      </c>
      <c r="BT771" t="str">
        <f>HYPERLINK("https%3A%2F%2Fwww.webofscience.com%2Fwos%2Fwoscc%2Ffull-record%2FWOS:000246766000011","View Full Record in Web of Science")</f>
        <v>View Full Record in Web of Science</v>
      </c>
    </row>
    <row r="772" spans="1:72" x14ac:dyDescent="0.15">
      <c r="A772" t="s">
        <v>72</v>
      </c>
      <c r="B772" t="s">
        <v>12124</v>
      </c>
      <c r="C772" t="s">
        <v>74</v>
      </c>
      <c r="D772" t="s">
        <v>74</v>
      </c>
      <c r="E772" t="s">
        <v>74</v>
      </c>
      <c r="F772" t="s">
        <v>12125</v>
      </c>
      <c r="G772" t="s">
        <v>74</v>
      </c>
      <c r="H772" t="s">
        <v>74</v>
      </c>
      <c r="I772" t="s">
        <v>12126</v>
      </c>
      <c r="J772" t="s">
        <v>12096</v>
      </c>
      <c r="K772" t="s">
        <v>74</v>
      </c>
      <c r="L772" t="s">
        <v>74</v>
      </c>
      <c r="M772" t="s">
        <v>78</v>
      </c>
      <c r="N772" t="s">
        <v>79</v>
      </c>
      <c r="O772" t="s">
        <v>74</v>
      </c>
      <c r="P772" t="s">
        <v>74</v>
      </c>
      <c r="Q772" t="s">
        <v>74</v>
      </c>
      <c r="R772" t="s">
        <v>74</v>
      </c>
      <c r="S772" t="s">
        <v>74</v>
      </c>
      <c r="T772" t="s">
        <v>12127</v>
      </c>
      <c r="U772" t="s">
        <v>12128</v>
      </c>
      <c r="V772" t="s">
        <v>12129</v>
      </c>
      <c r="W772" t="s">
        <v>12130</v>
      </c>
      <c r="X772" t="s">
        <v>12131</v>
      </c>
      <c r="Y772" t="s">
        <v>12132</v>
      </c>
      <c r="Z772" t="s">
        <v>12133</v>
      </c>
      <c r="AA772" t="s">
        <v>74</v>
      </c>
      <c r="AB772" t="s">
        <v>12134</v>
      </c>
      <c r="AC772" t="s">
        <v>74</v>
      </c>
      <c r="AD772" t="s">
        <v>74</v>
      </c>
      <c r="AE772" t="s">
        <v>74</v>
      </c>
      <c r="AF772" t="s">
        <v>74</v>
      </c>
      <c r="AG772">
        <v>81</v>
      </c>
      <c r="AH772">
        <v>38</v>
      </c>
      <c r="AI772">
        <v>39</v>
      </c>
      <c r="AJ772">
        <v>1</v>
      </c>
      <c r="AK772">
        <v>29</v>
      </c>
      <c r="AL772" t="s">
        <v>1592</v>
      </c>
      <c r="AM772" t="s">
        <v>1593</v>
      </c>
      <c r="AN772" t="s">
        <v>1594</v>
      </c>
      <c r="AO772" t="s">
        <v>12106</v>
      </c>
      <c r="AP772" t="s">
        <v>12107</v>
      </c>
      <c r="AQ772" t="s">
        <v>74</v>
      </c>
      <c r="AR772" t="s">
        <v>12096</v>
      </c>
      <c r="AS772" t="s">
        <v>12108</v>
      </c>
      <c r="AT772" t="s">
        <v>11681</v>
      </c>
      <c r="AU772">
        <v>2007</v>
      </c>
      <c r="AV772">
        <v>10</v>
      </c>
      <c r="AW772">
        <v>1</v>
      </c>
      <c r="AX772" t="s">
        <v>74</v>
      </c>
      <c r="AY772" t="s">
        <v>74</v>
      </c>
      <c r="AZ772" t="s">
        <v>74</v>
      </c>
      <c r="BA772" t="s">
        <v>74</v>
      </c>
      <c r="BB772">
        <v>142</v>
      </c>
      <c r="BC772">
        <v>157</v>
      </c>
      <c r="BD772" t="s">
        <v>74</v>
      </c>
      <c r="BE772" t="s">
        <v>12135</v>
      </c>
      <c r="BF772" t="str">
        <f>HYPERLINK("http://dx.doi.org/10.1007/s10021-006-9012-9","http://dx.doi.org/10.1007/s10021-006-9012-9")</f>
        <v>http://dx.doi.org/10.1007/s10021-006-9012-9</v>
      </c>
      <c r="BG772" t="s">
        <v>74</v>
      </c>
      <c r="BH772" t="s">
        <v>74</v>
      </c>
      <c r="BI772">
        <v>16</v>
      </c>
      <c r="BJ772" t="s">
        <v>910</v>
      </c>
      <c r="BK772" t="s">
        <v>98</v>
      </c>
      <c r="BL772" t="s">
        <v>911</v>
      </c>
      <c r="BM772" t="s">
        <v>12110</v>
      </c>
      <c r="BN772" t="s">
        <v>74</v>
      </c>
      <c r="BO772" t="s">
        <v>74</v>
      </c>
      <c r="BP772" t="s">
        <v>74</v>
      </c>
      <c r="BQ772" t="s">
        <v>74</v>
      </c>
      <c r="BR772" t="s">
        <v>101</v>
      </c>
      <c r="BS772" t="s">
        <v>12136</v>
      </c>
      <c r="BT772" t="str">
        <f>HYPERLINK("https%3A%2F%2Fwww.webofscience.com%2Fwos%2Fwoscc%2Ffull-record%2FWOS:000246766000013","View Full Record in Web of Science")</f>
        <v>View Full Record in Web of Science</v>
      </c>
    </row>
    <row r="773" spans="1:72" x14ac:dyDescent="0.15">
      <c r="A773" t="s">
        <v>72</v>
      </c>
      <c r="B773" t="s">
        <v>12137</v>
      </c>
      <c r="C773" t="s">
        <v>74</v>
      </c>
      <c r="D773" t="s">
        <v>74</v>
      </c>
      <c r="E773" t="s">
        <v>74</v>
      </c>
      <c r="F773" t="s">
        <v>12138</v>
      </c>
      <c r="G773" t="s">
        <v>74</v>
      </c>
      <c r="H773" t="s">
        <v>74</v>
      </c>
      <c r="I773" t="s">
        <v>12139</v>
      </c>
      <c r="J773" t="s">
        <v>12140</v>
      </c>
      <c r="K773" t="s">
        <v>74</v>
      </c>
      <c r="L773" t="s">
        <v>74</v>
      </c>
      <c r="M773" t="s">
        <v>78</v>
      </c>
      <c r="N773" t="s">
        <v>79</v>
      </c>
      <c r="O773" t="s">
        <v>74</v>
      </c>
      <c r="P773" t="s">
        <v>74</v>
      </c>
      <c r="Q773" t="s">
        <v>74</v>
      </c>
      <c r="R773" t="s">
        <v>74</v>
      </c>
      <c r="S773" t="s">
        <v>74</v>
      </c>
      <c r="T773" t="s">
        <v>12141</v>
      </c>
      <c r="U773" t="s">
        <v>12142</v>
      </c>
      <c r="V773" t="s">
        <v>12143</v>
      </c>
      <c r="W773" t="s">
        <v>12144</v>
      </c>
      <c r="X773" t="s">
        <v>12145</v>
      </c>
      <c r="Y773" t="s">
        <v>12146</v>
      </c>
      <c r="Z773" t="s">
        <v>12147</v>
      </c>
      <c r="AA773" t="s">
        <v>74</v>
      </c>
      <c r="AB773" t="s">
        <v>74</v>
      </c>
      <c r="AC773" t="s">
        <v>74</v>
      </c>
      <c r="AD773" t="s">
        <v>74</v>
      </c>
      <c r="AE773" t="s">
        <v>74</v>
      </c>
      <c r="AF773" t="s">
        <v>74</v>
      </c>
      <c r="AG773">
        <v>61</v>
      </c>
      <c r="AH773">
        <v>30</v>
      </c>
      <c r="AI773">
        <v>36</v>
      </c>
      <c r="AJ773">
        <v>0</v>
      </c>
      <c r="AK773">
        <v>8</v>
      </c>
      <c r="AL773" t="s">
        <v>5112</v>
      </c>
      <c r="AM773" t="s">
        <v>5113</v>
      </c>
      <c r="AN773" t="s">
        <v>12148</v>
      </c>
      <c r="AO773" t="s">
        <v>12149</v>
      </c>
      <c r="AP773" t="s">
        <v>74</v>
      </c>
      <c r="AQ773" t="s">
        <v>74</v>
      </c>
      <c r="AR773" t="s">
        <v>12140</v>
      </c>
      <c r="AS773" t="s">
        <v>12150</v>
      </c>
      <c r="AT773" t="s">
        <v>11681</v>
      </c>
      <c r="AU773">
        <v>2007</v>
      </c>
      <c r="AV773">
        <v>28</v>
      </c>
      <c r="AW773">
        <v>3</v>
      </c>
      <c r="AX773" t="s">
        <v>74</v>
      </c>
      <c r="AY773" t="s">
        <v>74</v>
      </c>
      <c r="AZ773" t="s">
        <v>74</v>
      </c>
      <c r="BA773" t="s">
        <v>74</v>
      </c>
      <c r="BB773">
        <v>467</v>
      </c>
      <c r="BC773">
        <v>488</v>
      </c>
      <c r="BD773" t="s">
        <v>74</v>
      </c>
      <c r="BE773" t="s">
        <v>12151</v>
      </c>
      <c r="BF773" t="str">
        <f>HYPERLINK("http://dx.doi.org/10.1002/elps.200600173","http://dx.doi.org/10.1002/elps.200600173")</f>
        <v>http://dx.doi.org/10.1002/elps.200600173</v>
      </c>
      <c r="BG773" t="s">
        <v>74</v>
      </c>
      <c r="BH773" t="s">
        <v>74</v>
      </c>
      <c r="BI773">
        <v>22</v>
      </c>
      <c r="BJ773" t="s">
        <v>11683</v>
      </c>
      <c r="BK773" t="s">
        <v>98</v>
      </c>
      <c r="BL773" t="s">
        <v>11684</v>
      </c>
      <c r="BM773" t="s">
        <v>12152</v>
      </c>
      <c r="BN773">
        <v>17177241</v>
      </c>
      <c r="BO773" t="s">
        <v>198</v>
      </c>
      <c r="BP773" t="s">
        <v>74</v>
      </c>
      <c r="BQ773" t="s">
        <v>74</v>
      </c>
      <c r="BR773" t="s">
        <v>101</v>
      </c>
      <c r="BS773" t="s">
        <v>12153</v>
      </c>
      <c r="BT773" t="str">
        <f>HYPERLINK("https%3A%2F%2Fwww.webofscience.com%2Fwos%2Fwoscc%2Ffull-record%2FWOS:000244425600025","View Full Record in Web of Science")</f>
        <v>View Full Record in Web of Science</v>
      </c>
    </row>
    <row r="774" spans="1:72" x14ac:dyDescent="0.15">
      <c r="A774" t="s">
        <v>72</v>
      </c>
      <c r="B774" t="s">
        <v>12154</v>
      </c>
      <c r="C774" t="s">
        <v>74</v>
      </c>
      <c r="D774" t="s">
        <v>74</v>
      </c>
      <c r="E774" t="s">
        <v>74</v>
      </c>
      <c r="F774" t="s">
        <v>12155</v>
      </c>
      <c r="G774" t="s">
        <v>74</v>
      </c>
      <c r="H774" t="s">
        <v>74</v>
      </c>
      <c r="I774" t="s">
        <v>12156</v>
      </c>
      <c r="J774" t="s">
        <v>12157</v>
      </c>
      <c r="K774" t="s">
        <v>74</v>
      </c>
      <c r="L774" t="s">
        <v>74</v>
      </c>
      <c r="M774" t="s">
        <v>78</v>
      </c>
      <c r="N774" t="s">
        <v>79</v>
      </c>
      <c r="O774" t="s">
        <v>74</v>
      </c>
      <c r="P774" t="s">
        <v>74</v>
      </c>
      <c r="Q774" t="s">
        <v>74</v>
      </c>
      <c r="R774" t="s">
        <v>74</v>
      </c>
      <c r="S774" t="s">
        <v>74</v>
      </c>
      <c r="T774" t="s">
        <v>12158</v>
      </c>
      <c r="U774" t="s">
        <v>74</v>
      </c>
      <c r="V774" t="s">
        <v>12159</v>
      </c>
      <c r="W774" t="s">
        <v>12160</v>
      </c>
      <c r="X774" t="s">
        <v>12161</v>
      </c>
      <c r="Y774" t="s">
        <v>12162</v>
      </c>
      <c r="Z774" t="s">
        <v>12163</v>
      </c>
      <c r="AA774" t="s">
        <v>74</v>
      </c>
      <c r="AB774" t="s">
        <v>74</v>
      </c>
      <c r="AC774" t="s">
        <v>74</v>
      </c>
      <c r="AD774" t="s">
        <v>74</v>
      </c>
      <c r="AE774" t="s">
        <v>74</v>
      </c>
      <c r="AF774" t="s">
        <v>74</v>
      </c>
      <c r="AG774">
        <v>10</v>
      </c>
      <c r="AH774">
        <v>5</v>
      </c>
      <c r="AI774">
        <v>5</v>
      </c>
      <c r="AJ774">
        <v>1</v>
      </c>
      <c r="AK774">
        <v>4</v>
      </c>
      <c r="AL774" t="s">
        <v>1592</v>
      </c>
      <c r="AM774" t="s">
        <v>2052</v>
      </c>
      <c r="AN774" t="s">
        <v>2053</v>
      </c>
      <c r="AO774" t="s">
        <v>12164</v>
      </c>
      <c r="AP774" t="s">
        <v>12165</v>
      </c>
      <c r="AQ774" t="s">
        <v>74</v>
      </c>
      <c r="AR774" t="s">
        <v>12166</v>
      </c>
      <c r="AS774" t="s">
        <v>12167</v>
      </c>
      <c r="AT774" t="s">
        <v>11681</v>
      </c>
      <c r="AU774">
        <v>2007</v>
      </c>
      <c r="AV774">
        <v>125</v>
      </c>
      <c r="AW774" t="s">
        <v>1039</v>
      </c>
      <c r="AX774" t="s">
        <v>74</v>
      </c>
      <c r="AY774" t="s">
        <v>74</v>
      </c>
      <c r="AZ774" t="s">
        <v>74</v>
      </c>
      <c r="BA774" t="s">
        <v>74</v>
      </c>
      <c r="BB774">
        <v>41</v>
      </c>
      <c r="BC774">
        <v>45</v>
      </c>
      <c r="BD774" t="s">
        <v>74</v>
      </c>
      <c r="BE774" t="s">
        <v>12168</v>
      </c>
      <c r="BF774" t="str">
        <f>HYPERLINK("http://dx.doi.org/10.1007/s10661-006-9237-2","http://dx.doi.org/10.1007/s10661-006-9237-2")</f>
        <v>http://dx.doi.org/10.1007/s10661-006-9237-2</v>
      </c>
      <c r="BG774" t="s">
        <v>74</v>
      </c>
      <c r="BH774" t="s">
        <v>74</v>
      </c>
      <c r="BI774">
        <v>5</v>
      </c>
      <c r="BJ774" t="s">
        <v>4372</v>
      </c>
      <c r="BK774" t="s">
        <v>98</v>
      </c>
      <c r="BL774" t="s">
        <v>911</v>
      </c>
      <c r="BM774" t="s">
        <v>12169</v>
      </c>
      <c r="BN774">
        <v>16897513</v>
      </c>
      <c r="BO774" t="s">
        <v>74</v>
      </c>
      <c r="BP774" t="s">
        <v>74</v>
      </c>
      <c r="BQ774" t="s">
        <v>74</v>
      </c>
      <c r="BR774" t="s">
        <v>101</v>
      </c>
      <c r="BS774" t="s">
        <v>12170</v>
      </c>
      <c r="BT774" t="str">
        <f>HYPERLINK("https%3A%2F%2Fwww.webofscience.com%2Fwos%2Fwoscc%2Ffull-record%2FWOS:000243970000005","View Full Record in Web of Science")</f>
        <v>View Full Record in Web of Science</v>
      </c>
    </row>
    <row r="775" spans="1:72" x14ac:dyDescent="0.15">
      <c r="A775" t="s">
        <v>72</v>
      </c>
      <c r="B775" t="s">
        <v>12171</v>
      </c>
      <c r="C775" t="s">
        <v>74</v>
      </c>
      <c r="D775" t="s">
        <v>74</v>
      </c>
      <c r="E775" t="s">
        <v>74</v>
      </c>
      <c r="F775" t="s">
        <v>12172</v>
      </c>
      <c r="G775" t="s">
        <v>74</v>
      </c>
      <c r="H775" t="s">
        <v>74</v>
      </c>
      <c r="I775" t="s">
        <v>12173</v>
      </c>
      <c r="J775" t="s">
        <v>3556</v>
      </c>
      <c r="K775" t="s">
        <v>74</v>
      </c>
      <c r="L775" t="s">
        <v>74</v>
      </c>
      <c r="M775" t="s">
        <v>78</v>
      </c>
      <c r="N775" t="s">
        <v>79</v>
      </c>
      <c r="O775" t="s">
        <v>74</v>
      </c>
      <c r="P775" t="s">
        <v>74</v>
      </c>
      <c r="Q775" t="s">
        <v>74</v>
      </c>
      <c r="R775" t="s">
        <v>74</v>
      </c>
      <c r="S775" t="s">
        <v>74</v>
      </c>
      <c r="T775" t="s">
        <v>12174</v>
      </c>
      <c r="U775" t="s">
        <v>12175</v>
      </c>
      <c r="V775" t="s">
        <v>12176</v>
      </c>
      <c r="W775" t="s">
        <v>12177</v>
      </c>
      <c r="X775" t="s">
        <v>12178</v>
      </c>
      <c r="Y775" t="s">
        <v>12179</v>
      </c>
      <c r="Z775" t="s">
        <v>12180</v>
      </c>
      <c r="AA775" t="s">
        <v>12181</v>
      </c>
      <c r="AB775" t="s">
        <v>12182</v>
      </c>
      <c r="AC775" t="s">
        <v>74</v>
      </c>
      <c r="AD775" t="s">
        <v>74</v>
      </c>
      <c r="AE775" t="s">
        <v>74</v>
      </c>
      <c r="AF775" t="s">
        <v>74</v>
      </c>
      <c r="AG775">
        <v>59</v>
      </c>
      <c r="AH775">
        <v>147</v>
      </c>
      <c r="AI775">
        <v>170</v>
      </c>
      <c r="AJ775">
        <v>1</v>
      </c>
      <c r="AK775">
        <v>54</v>
      </c>
      <c r="AL775" t="s">
        <v>3568</v>
      </c>
      <c r="AM775" t="s">
        <v>363</v>
      </c>
      <c r="AN775" t="s">
        <v>3569</v>
      </c>
      <c r="AO775" t="s">
        <v>3570</v>
      </c>
      <c r="AP775" t="s">
        <v>3571</v>
      </c>
      <c r="AQ775" t="s">
        <v>74</v>
      </c>
      <c r="AR775" t="s">
        <v>3572</v>
      </c>
      <c r="AS775" t="s">
        <v>3573</v>
      </c>
      <c r="AT775" t="s">
        <v>11681</v>
      </c>
      <c r="AU775">
        <v>2007</v>
      </c>
      <c r="AV775">
        <v>71</v>
      </c>
      <c r="AW775" t="s">
        <v>686</v>
      </c>
      <c r="AX775" t="s">
        <v>74</v>
      </c>
      <c r="AY775" t="s">
        <v>74</v>
      </c>
      <c r="AZ775" t="s">
        <v>74</v>
      </c>
      <c r="BA775" t="s">
        <v>74</v>
      </c>
      <c r="BB775">
        <v>523</v>
      </c>
      <c r="BC775">
        <v>536</v>
      </c>
      <c r="BD775" t="s">
        <v>74</v>
      </c>
      <c r="BE775" t="s">
        <v>12183</v>
      </c>
      <c r="BF775" t="str">
        <f>HYPERLINK("http://dx.doi.org/10.1016/j.ecss.2006.07.004","http://dx.doi.org/10.1016/j.ecss.2006.07.004")</f>
        <v>http://dx.doi.org/10.1016/j.ecss.2006.07.004</v>
      </c>
      <c r="BG775" t="s">
        <v>74</v>
      </c>
      <c r="BH775" t="s">
        <v>74</v>
      </c>
      <c r="BI775">
        <v>14</v>
      </c>
      <c r="BJ775" t="s">
        <v>2093</v>
      </c>
      <c r="BK775" t="s">
        <v>98</v>
      </c>
      <c r="BL775" t="s">
        <v>2093</v>
      </c>
      <c r="BM775" t="s">
        <v>12184</v>
      </c>
      <c r="BN775" t="s">
        <v>74</v>
      </c>
      <c r="BO775" t="s">
        <v>198</v>
      </c>
      <c r="BP775" t="s">
        <v>74</v>
      </c>
      <c r="BQ775" t="s">
        <v>74</v>
      </c>
      <c r="BR775" t="s">
        <v>101</v>
      </c>
      <c r="BS775" t="s">
        <v>12185</v>
      </c>
      <c r="BT775" t="str">
        <f>HYPERLINK("https%3A%2F%2Fwww.webofscience.com%2Fwos%2Fwoscc%2Ffull-record%2FWOS:000244177300016","View Full Record in Web of Science")</f>
        <v>View Full Record in Web of Science</v>
      </c>
    </row>
    <row r="776" spans="1:72" x14ac:dyDescent="0.15">
      <c r="A776" t="s">
        <v>72</v>
      </c>
      <c r="B776" t="s">
        <v>12186</v>
      </c>
      <c r="C776" t="s">
        <v>74</v>
      </c>
      <c r="D776" t="s">
        <v>74</v>
      </c>
      <c r="E776" t="s">
        <v>74</v>
      </c>
      <c r="F776" t="s">
        <v>12187</v>
      </c>
      <c r="G776" t="s">
        <v>74</v>
      </c>
      <c r="H776" t="s">
        <v>74</v>
      </c>
      <c r="I776" t="s">
        <v>12188</v>
      </c>
      <c r="J776" t="s">
        <v>1707</v>
      </c>
      <c r="K776" t="s">
        <v>74</v>
      </c>
      <c r="L776" t="s">
        <v>74</v>
      </c>
      <c r="M776" t="s">
        <v>78</v>
      </c>
      <c r="N776" t="s">
        <v>514</v>
      </c>
      <c r="O776" t="s">
        <v>12189</v>
      </c>
      <c r="P776" t="s">
        <v>12190</v>
      </c>
      <c r="Q776" t="s">
        <v>12191</v>
      </c>
      <c r="R776" t="s">
        <v>74</v>
      </c>
      <c r="S776" t="s">
        <v>74</v>
      </c>
      <c r="T776" t="s">
        <v>12192</v>
      </c>
      <c r="U776" t="s">
        <v>12193</v>
      </c>
      <c r="V776" t="s">
        <v>12194</v>
      </c>
      <c r="W776" t="s">
        <v>12195</v>
      </c>
      <c r="X776" t="s">
        <v>12196</v>
      </c>
      <c r="Y776" t="s">
        <v>12197</v>
      </c>
      <c r="Z776" t="s">
        <v>12198</v>
      </c>
      <c r="AA776" t="s">
        <v>12199</v>
      </c>
      <c r="AB776" t="s">
        <v>12200</v>
      </c>
      <c r="AC776" t="s">
        <v>74</v>
      </c>
      <c r="AD776" t="s">
        <v>74</v>
      </c>
      <c r="AE776" t="s">
        <v>74</v>
      </c>
      <c r="AF776" t="s">
        <v>74</v>
      </c>
      <c r="AG776">
        <v>104</v>
      </c>
      <c r="AH776">
        <v>41</v>
      </c>
      <c r="AI776">
        <v>51</v>
      </c>
      <c r="AJ776">
        <v>6</v>
      </c>
      <c r="AK776">
        <v>74</v>
      </c>
      <c r="AL776" t="s">
        <v>1715</v>
      </c>
      <c r="AM776" t="s">
        <v>1504</v>
      </c>
      <c r="AN776" t="s">
        <v>1716</v>
      </c>
      <c r="AO776" t="s">
        <v>1717</v>
      </c>
      <c r="AP776" t="s">
        <v>1718</v>
      </c>
      <c r="AQ776" t="s">
        <v>74</v>
      </c>
      <c r="AR776" t="s">
        <v>1719</v>
      </c>
      <c r="AS776" t="s">
        <v>1720</v>
      </c>
      <c r="AT776" t="s">
        <v>11681</v>
      </c>
      <c r="AU776">
        <v>2007</v>
      </c>
      <c r="AV776">
        <v>59</v>
      </c>
      <c r="AW776">
        <v>2</v>
      </c>
      <c r="AX776" t="s">
        <v>74</v>
      </c>
      <c r="AY776" t="s">
        <v>74</v>
      </c>
      <c r="AZ776" t="s">
        <v>74</v>
      </c>
      <c r="BA776" t="s">
        <v>74</v>
      </c>
      <c r="BB776">
        <v>232</v>
      </c>
      <c r="BC776">
        <v>241</v>
      </c>
      <c r="BD776" t="s">
        <v>74</v>
      </c>
      <c r="BE776" t="s">
        <v>12201</v>
      </c>
      <c r="BF776" t="str">
        <f>HYPERLINK("http://dx.doi.org/10.1111/j.1574-6941.2006.00246.x","http://dx.doi.org/10.1111/j.1574-6941.2006.00246.x")</f>
        <v>http://dx.doi.org/10.1111/j.1574-6941.2006.00246.x</v>
      </c>
      <c r="BG776" t="s">
        <v>74</v>
      </c>
      <c r="BH776" t="s">
        <v>74</v>
      </c>
      <c r="BI776">
        <v>10</v>
      </c>
      <c r="BJ776" t="s">
        <v>1722</v>
      </c>
      <c r="BK776" t="s">
        <v>535</v>
      </c>
      <c r="BL776" t="s">
        <v>1722</v>
      </c>
      <c r="BM776" t="s">
        <v>12202</v>
      </c>
      <c r="BN776">
        <v>17199802</v>
      </c>
      <c r="BO776" t="s">
        <v>154</v>
      </c>
      <c r="BP776" t="s">
        <v>74</v>
      </c>
      <c r="BQ776" t="s">
        <v>74</v>
      </c>
      <c r="BR776" t="s">
        <v>101</v>
      </c>
      <c r="BS776" t="s">
        <v>12203</v>
      </c>
      <c r="BT776" t="str">
        <f>HYPERLINK("https%3A%2F%2Fwww.webofscience.com%2Fwos%2Fwoscc%2Ffull-record%2FWOS:000243506800003","View Full Record in Web of Science")</f>
        <v>View Full Record in Web of Science</v>
      </c>
    </row>
    <row r="777" spans="1:72" x14ac:dyDescent="0.15">
      <c r="A777" t="s">
        <v>72</v>
      </c>
      <c r="B777" t="s">
        <v>12204</v>
      </c>
      <c r="C777" t="s">
        <v>74</v>
      </c>
      <c r="D777" t="s">
        <v>74</v>
      </c>
      <c r="E777" t="s">
        <v>74</v>
      </c>
      <c r="F777" t="s">
        <v>12205</v>
      </c>
      <c r="G777" t="s">
        <v>74</v>
      </c>
      <c r="H777" t="s">
        <v>74</v>
      </c>
      <c r="I777" t="s">
        <v>12206</v>
      </c>
      <c r="J777" t="s">
        <v>1707</v>
      </c>
      <c r="K777" t="s">
        <v>74</v>
      </c>
      <c r="L777" t="s">
        <v>74</v>
      </c>
      <c r="M777" t="s">
        <v>78</v>
      </c>
      <c r="N777" t="s">
        <v>514</v>
      </c>
      <c r="O777" t="s">
        <v>12207</v>
      </c>
      <c r="P777" t="s">
        <v>12190</v>
      </c>
      <c r="Q777" t="s">
        <v>12191</v>
      </c>
      <c r="R777" t="s">
        <v>74</v>
      </c>
      <c r="S777" t="s">
        <v>74</v>
      </c>
      <c r="T777" t="s">
        <v>12208</v>
      </c>
      <c r="U777" t="s">
        <v>12209</v>
      </c>
      <c r="V777" t="s">
        <v>12210</v>
      </c>
      <c r="W777" t="s">
        <v>12211</v>
      </c>
      <c r="X777" t="s">
        <v>12212</v>
      </c>
      <c r="Y777" t="s">
        <v>12213</v>
      </c>
      <c r="Z777" t="s">
        <v>12214</v>
      </c>
      <c r="AA777" t="s">
        <v>12215</v>
      </c>
      <c r="AB777" t="s">
        <v>12216</v>
      </c>
      <c r="AC777" t="s">
        <v>74</v>
      </c>
      <c r="AD777" t="s">
        <v>74</v>
      </c>
      <c r="AE777" t="s">
        <v>74</v>
      </c>
      <c r="AF777" t="s">
        <v>74</v>
      </c>
      <c r="AG777">
        <v>74</v>
      </c>
      <c r="AH777">
        <v>32</v>
      </c>
      <c r="AI777">
        <v>40</v>
      </c>
      <c r="AJ777">
        <v>1</v>
      </c>
      <c r="AK777">
        <v>29</v>
      </c>
      <c r="AL777" t="s">
        <v>3589</v>
      </c>
      <c r="AM777" t="s">
        <v>1504</v>
      </c>
      <c r="AN777" t="s">
        <v>3590</v>
      </c>
      <c r="AO777" t="s">
        <v>1717</v>
      </c>
      <c r="AP777" t="s">
        <v>74</v>
      </c>
      <c r="AQ777" t="s">
        <v>74</v>
      </c>
      <c r="AR777" t="s">
        <v>1719</v>
      </c>
      <c r="AS777" t="s">
        <v>1720</v>
      </c>
      <c r="AT777" t="s">
        <v>11681</v>
      </c>
      <c r="AU777">
        <v>2007</v>
      </c>
      <c r="AV777">
        <v>59</v>
      </c>
      <c r="AW777">
        <v>2</v>
      </c>
      <c r="AX777" t="s">
        <v>74</v>
      </c>
      <c r="AY777" t="s">
        <v>74</v>
      </c>
      <c r="AZ777" t="s">
        <v>74</v>
      </c>
      <c r="BA777" t="s">
        <v>74</v>
      </c>
      <c r="BB777">
        <v>289</v>
      </c>
      <c r="BC777">
        <v>299</v>
      </c>
      <c r="BD777" t="s">
        <v>74</v>
      </c>
      <c r="BE777" t="s">
        <v>12217</v>
      </c>
      <c r="BF777" t="str">
        <f>HYPERLINK("http://dx.doi.org/10.1111/j.1574-6941.2006.00271.x","http://dx.doi.org/10.1111/j.1574-6941.2006.00271.x")</f>
        <v>http://dx.doi.org/10.1111/j.1574-6941.2006.00271.x</v>
      </c>
      <c r="BG777" t="s">
        <v>74</v>
      </c>
      <c r="BH777" t="s">
        <v>74</v>
      </c>
      <c r="BI777">
        <v>11</v>
      </c>
      <c r="BJ777" t="s">
        <v>1722</v>
      </c>
      <c r="BK777" t="s">
        <v>745</v>
      </c>
      <c r="BL777" t="s">
        <v>1722</v>
      </c>
      <c r="BM777" t="s">
        <v>12202</v>
      </c>
      <c r="BN777">
        <v>17313578</v>
      </c>
      <c r="BO777" t="s">
        <v>3113</v>
      </c>
      <c r="BP777" t="s">
        <v>74</v>
      </c>
      <c r="BQ777" t="s">
        <v>74</v>
      </c>
      <c r="BR777" t="s">
        <v>101</v>
      </c>
      <c r="BS777" t="s">
        <v>12218</v>
      </c>
      <c r="BT777" t="str">
        <f>HYPERLINK("https%3A%2F%2Fwww.webofscience.com%2Fwos%2Fwoscc%2Ffull-record%2FWOS:000243506800008","View Full Record in Web of Science")</f>
        <v>View Full Record in Web of Science</v>
      </c>
    </row>
    <row r="778" spans="1:72" x14ac:dyDescent="0.15">
      <c r="A778" t="s">
        <v>72</v>
      </c>
      <c r="B778" t="s">
        <v>12219</v>
      </c>
      <c r="C778" t="s">
        <v>74</v>
      </c>
      <c r="D778" t="s">
        <v>74</v>
      </c>
      <c r="E778" t="s">
        <v>74</v>
      </c>
      <c r="F778" t="s">
        <v>12220</v>
      </c>
      <c r="G778" t="s">
        <v>74</v>
      </c>
      <c r="H778" t="s">
        <v>74</v>
      </c>
      <c r="I778" t="s">
        <v>12221</v>
      </c>
      <c r="J778" t="s">
        <v>1707</v>
      </c>
      <c r="K778" t="s">
        <v>74</v>
      </c>
      <c r="L778" t="s">
        <v>74</v>
      </c>
      <c r="M778" t="s">
        <v>78</v>
      </c>
      <c r="N778" t="s">
        <v>514</v>
      </c>
      <c r="O778" t="s">
        <v>12189</v>
      </c>
      <c r="P778" t="s">
        <v>12190</v>
      </c>
      <c r="Q778" t="s">
        <v>12191</v>
      </c>
      <c r="R778" t="s">
        <v>74</v>
      </c>
      <c r="S778" t="s">
        <v>74</v>
      </c>
      <c r="T778" t="s">
        <v>12222</v>
      </c>
      <c r="U778" t="s">
        <v>12223</v>
      </c>
      <c r="V778" t="s">
        <v>12224</v>
      </c>
      <c r="W778" t="s">
        <v>12225</v>
      </c>
      <c r="X778" t="s">
        <v>12226</v>
      </c>
      <c r="Y778" t="s">
        <v>12227</v>
      </c>
      <c r="Z778" t="s">
        <v>12228</v>
      </c>
      <c r="AA778" t="s">
        <v>12229</v>
      </c>
      <c r="AB778" t="s">
        <v>12230</v>
      </c>
      <c r="AC778" t="s">
        <v>12231</v>
      </c>
      <c r="AD778" t="s">
        <v>140</v>
      </c>
      <c r="AE778" t="s">
        <v>74</v>
      </c>
      <c r="AF778" t="s">
        <v>74</v>
      </c>
      <c r="AG778">
        <v>59</v>
      </c>
      <c r="AH778">
        <v>88</v>
      </c>
      <c r="AI778">
        <v>94</v>
      </c>
      <c r="AJ778">
        <v>2</v>
      </c>
      <c r="AK778">
        <v>61</v>
      </c>
      <c r="AL778" t="s">
        <v>1715</v>
      </c>
      <c r="AM778" t="s">
        <v>1504</v>
      </c>
      <c r="AN778" t="s">
        <v>1716</v>
      </c>
      <c r="AO778" t="s">
        <v>1717</v>
      </c>
      <c r="AP778" t="s">
        <v>1718</v>
      </c>
      <c r="AQ778" t="s">
        <v>74</v>
      </c>
      <c r="AR778" t="s">
        <v>1719</v>
      </c>
      <c r="AS778" t="s">
        <v>1720</v>
      </c>
      <c r="AT778" t="s">
        <v>11681</v>
      </c>
      <c r="AU778">
        <v>2007</v>
      </c>
      <c r="AV778">
        <v>59</v>
      </c>
      <c r="AW778">
        <v>2</v>
      </c>
      <c r="AX778" t="s">
        <v>74</v>
      </c>
      <c r="AY778" t="s">
        <v>74</v>
      </c>
      <c r="AZ778" t="s">
        <v>74</v>
      </c>
      <c r="BA778" t="s">
        <v>74</v>
      </c>
      <c r="BB778">
        <v>307</v>
      </c>
      <c r="BC778">
        <v>317</v>
      </c>
      <c r="BD778" t="s">
        <v>74</v>
      </c>
      <c r="BE778" t="s">
        <v>12232</v>
      </c>
      <c r="BF778" t="str">
        <f>HYPERLINK("http://dx.doi.org/10.1111/j.1574-6941.2006.00262.x","http://dx.doi.org/10.1111/j.1574-6941.2006.00262.x")</f>
        <v>http://dx.doi.org/10.1111/j.1574-6941.2006.00262.x</v>
      </c>
      <c r="BG778" t="s">
        <v>74</v>
      </c>
      <c r="BH778" t="s">
        <v>74</v>
      </c>
      <c r="BI778">
        <v>11</v>
      </c>
      <c r="BJ778" t="s">
        <v>1722</v>
      </c>
      <c r="BK778" t="s">
        <v>535</v>
      </c>
      <c r="BL778" t="s">
        <v>1722</v>
      </c>
      <c r="BM778" t="s">
        <v>12202</v>
      </c>
      <c r="BN778">
        <v>17313580</v>
      </c>
      <c r="BO778" t="s">
        <v>154</v>
      </c>
      <c r="BP778" t="s">
        <v>74</v>
      </c>
      <c r="BQ778" t="s">
        <v>74</v>
      </c>
      <c r="BR778" t="s">
        <v>101</v>
      </c>
      <c r="BS778" t="s">
        <v>12233</v>
      </c>
      <c r="BT778" t="str">
        <f>HYPERLINK("https%3A%2F%2Fwww.webofscience.com%2Fwos%2Fwoscc%2Ffull-record%2FWOS:000243506800010","View Full Record in Web of Science")</f>
        <v>View Full Record in Web of Science</v>
      </c>
    </row>
    <row r="779" spans="1:72" x14ac:dyDescent="0.15">
      <c r="A779" t="s">
        <v>72</v>
      </c>
      <c r="B779" t="s">
        <v>12234</v>
      </c>
      <c r="C779" t="s">
        <v>74</v>
      </c>
      <c r="D779" t="s">
        <v>74</v>
      </c>
      <c r="E779" t="s">
        <v>74</v>
      </c>
      <c r="F779" t="s">
        <v>12235</v>
      </c>
      <c r="G779" t="s">
        <v>74</v>
      </c>
      <c r="H779" t="s">
        <v>74</v>
      </c>
      <c r="I779" t="s">
        <v>12236</v>
      </c>
      <c r="J779" t="s">
        <v>1707</v>
      </c>
      <c r="K779" t="s">
        <v>74</v>
      </c>
      <c r="L779" t="s">
        <v>74</v>
      </c>
      <c r="M779" t="s">
        <v>78</v>
      </c>
      <c r="N779" t="s">
        <v>514</v>
      </c>
      <c r="O779" t="s">
        <v>12189</v>
      </c>
      <c r="P779" t="s">
        <v>12190</v>
      </c>
      <c r="Q779" t="s">
        <v>12191</v>
      </c>
      <c r="R779" t="s">
        <v>74</v>
      </c>
      <c r="S779" t="s">
        <v>74</v>
      </c>
      <c r="T779" t="s">
        <v>12237</v>
      </c>
      <c r="U779" t="s">
        <v>12238</v>
      </c>
      <c r="V779" t="s">
        <v>12239</v>
      </c>
      <c r="W779" t="s">
        <v>12240</v>
      </c>
      <c r="X779" t="s">
        <v>12241</v>
      </c>
      <c r="Y779" t="s">
        <v>12242</v>
      </c>
      <c r="Z779" t="s">
        <v>12243</v>
      </c>
      <c r="AA779" t="s">
        <v>12244</v>
      </c>
      <c r="AB779" t="s">
        <v>12245</v>
      </c>
      <c r="AC779" t="s">
        <v>74</v>
      </c>
      <c r="AD779" t="s">
        <v>74</v>
      </c>
      <c r="AE779" t="s">
        <v>74</v>
      </c>
      <c r="AF779" t="s">
        <v>74</v>
      </c>
      <c r="AG779">
        <v>41</v>
      </c>
      <c r="AH779">
        <v>112</v>
      </c>
      <c r="AI779">
        <v>124</v>
      </c>
      <c r="AJ779">
        <v>0</v>
      </c>
      <c r="AK779">
        <v>29</v>
      </c>
      <c r="AL779" t="s">
        <v>1715</v>
      </c>
      <c r="AM779" t="s">
        <v>1504</v>
      </c>
      <c r="AN779" t="s">
        <v>1716</v>
      </c>
      <c r="AO779" t="s">
        <v>1717</v>
      </c>
      <c r="AP779" t="s">
        <v>1718</v>
      </c>
      <c r="AQ779" t="s">
        <v>74</v>
      </c>
      <c r="AR779" t="s">
        <v>1719</v>
      </c>
      <c r="AS779" t="s">
        <v>1720</v>
      </c>
      <c r="AT779" t="s">
        <v>11681</v>
      </c>
      <c r="AU779">
        <v>2007</v>
      </c>
      <c r="AV779">
        <v>59</v>
      </c>
      <c r="AW779">
        <v>2</v>
      </c>
      <c r="AX779" t="s">
        <v>74</v>
      </c>
      <c r="AY779" t="s">
        <v>74</v>
      </c>
      <c r="AZ779" t="s">
        <v>74</v>
      </c>
      <c r="BA779" t="s">
        <v>74</v>
      </c>
      <c r="BB779">
        <v>331</v>
      </c>
      <c r="BC779">
        <v>341</v>
      </c>
      <c r="BD779" t="s">
        <v>74</v>
      </c>
      <c r="BE779" t="s">
        <v>12246</v>
      </c>
      <c r="BF779" t="str">
        <f>HYPERLINK("http://dx.doi.org/10.1111/j.1574-6941.2006.00239.x","http://dx.doi.org/10.1111/j.1574-6941.2006.00239.x")</f>
        <v>http://dx.doi.org/10.1111/j.1574-6941.2006.00239.x</v>
      </c>
      <c r="BG779" t="s">
        <v>74</v>
      </c>
      <c r="BH779" t="s">
        <v>74</v>
      </c>
      <c r="BI779">
        <v>11</v>
      </c>
      <c r="BJ779" t="s">
        <v>1722</v>
      </c>
      <c r="BK779" t="s">
        <v>535</v>
      </c>
      <c r="BL779" t="s">
        <v>1722</v>
      </c>
      <c r="BM779" t="s">
        <v>12202</v>
      </c>
      <c r="BN779">
        <v>17313582</v>
      </c>
      <c r="BO779" t="s">
        <v>154</v>
      </c>
      <c r="BP779" t="s">
        <v>74</v>
      </c>
      <c r="BQ779" t="s">
        <v>74</v>
      </c>
      <c r="BR779" t="s">
        <v>101</v>
      </c>
      <c r="BS779" t="s">
        <v>12247</v>
      </c>
      <c r="BT779" t="str">
        <f>HYPERLINK("https%3A%2F%2Fwww.webofscience.com%2Fwos%2Fwoscc%2Ffull-record%2FWOS:000243506800012","View Full Record in Web of Science")</f>
        <v>View Full Record in Web of Science</v>
      </c>
    </row>
    <row r="780" spans="1:72" x14ac:dyDescent="0.15">
      <c r="A780" t="s">
        <v>72</v>
      </c>
      <c r="B780" t="s">
        <v>12248</v>
      </c>
      <c r="C780" t="s">
        <v>74</v>
      </c>
      <c r="D780" t="s">
        <v>74</v>
      </c>
      <c r="E780" t="s">
        <v>74</v>
      </c>
      <c r="F780" t="s">
        <v>12249</v>
      </c>
      <c r="G780" t="s">
        <v>74</v>
      </c>
      <c r="H780" t="s">
        <v>74</v>
      </c>
      <c r="I780" t="s">
        <v>12250</v>
      </c>
      <c r="J780" t="s">
        <v>1707</v>
      </c>
      <c r="K780" t="s">
        <v>74</v>
      </c>
      <c r="L780" t="s">
        <v>74</v>
      </c>
      <c r="M780" t="s">
        <v>78</v>
      </c>
      <c r="N780" t="s">
        <v>514</v>
      </c>
      <c r="O780" t="s">
        <v>12189</v>
      </c>
      <c r="P780" t="s">
        <v>12190</v>
      </c>
      <c r="Q780" t="s">
        <v>12191</v>
      </c>
      <c r="R780" t="s">
        <v>74</v>
      </c>
      <c r="S780" t="s">
        <v>74</v>
      </c>
      <c r="T780" t="s">
        <v>12251</v>
      </c>
      <c r="U780" t="s">
        <v>12252</v>
      </c>
      <c r="V780" t="s">
        <v>12253</v>
      </c>
      <c r="W780" t="s">
        <v>12254</v>
      </c>
      <c r="X780" t="s">
        <v>5582</v>
      </c>
      <c r="Y780" t="s">
        <v>12255</v>
      </c>
      <c r="Z780" t="s">
        <v>12256</v>
      </c>
      <c r="AA780" t="s">
        <v>12257</v>
      </c>
      <c r="AB780" t="s">
        <v>12258</v>
      </c>
      <c r="AC780" t="s">
        <v>74</v>
      </c>
      <c r="AD780" t="s">
        <v>74</v>
      </c>
      <c r="AE780" t="s">
        <v>74</v>
      </c>
      <c r="AF780" t="s">
        <v>74</v>
      </c>
      <c r="AG780">
        <v>65</v>
      </c>
      <c r="AH780">
        <v>97</v>
      </c>
      <c r="AI780">
        <v>109</v>
      </c>
      <c r="AJ780">
        <v>1</v>
      </c>
      <c r="AK780">
        <v>18</v>
      </c>
      <c r="AL780" t="s">
        <v>1715</v>
      </c>
      <c r="AM780" t="s">
        <v>1504</v>
      </c>
      <c r="AN780" t="s">
        <v>1716</v>
      </c>
      <c r="AO780" t="s">
        <v>1717</v>
      </c>
      <c r="AP780" t="s">
        <v>1718</v>
      </c>
      <c r="AQ780" t="s">
        <v>74</v>
      </c>
      <c r="AR780" t="s">
        <v>1719</v>
      </c>
      <c r="AS780" t="s">
        <v>1720</v>
      </c>
      <c r="AT780" t="s">
        <v>11681</v>
      </c>
      <c r="AU780">
        <v>2007</v>
      </c>
      <c r="AV780">
        <v>59</v>
      </c>
      <c r="AW780">
        <v>2</v>
      </c>
      <c r="AX780" t="s">
        <v>74</v>
      </c>
      <c r="AY780" t="s">
        <v>74</v>
      </c>
      <c r="AZ780" t="s">
        <v>74</v>
      </c>
      <c r="BA780" t="s">
        <v>74</v>
      </c>
      <c r="BB780">
        <v>342</v>
      </c>
      <c r="BC780">
        <v>355</v>
      </c>
      <c r="BD780" t="s">
        <v>74</v>
      </c>
      <c r="BE780" t="s">
        <v>12259</v>
      </c>
      <c r="BF780" t="str">
        <f>HYPERLINK("http://dx.doi.org/10.1111/j.1574-6941.2006.00213.x","http://dx.doi.org/10.1111/j.1574-6941.2006.00213.x")</f>
        <v>http://dx.doi.org/10.1111/j.1574-6941.2006.00213.x</v>
      </c>
      <c r="BG780" t="s">
        <v>74</v>
      </c>
      <c r="BH780" t="s">
        <v>74</v>
      </c>
      <c r="BI780">
        <v>14</v>
      </c>
      <c r="BJ780" t="s">
        <v>1722</v>
      </c>
      <c r="BK780" t="s">
        <v>535</v>
      </c>
      <c r="BL780" t="s">
        <v>1722</v>
      </c>
      <c r="BM780" t="s">
        <v>12202</v>
      </c>
      <c r="BN780">
        <v>17026513</v>
      </c>
      <c r="BO780" t="s">
        <v>74</v>
      </c>
      <c r="BP780" t="s">
        <v>74</v>
      </c>
      <c r="BQ780" t="s">
        <v>74</v>
      </c>
      <c r="BR780" t="s">
        <v>101</v>
      </c>
      <c r="BS780" t="s">
        <v>12260</v>
      </c>
      <c r="BT780" t="str">
        <f>HYPERLINK("https%3A%2F%2Fwww.webofscience.com%2Fwos%2Fwoscc%2Ffull-record%2FWOS:000243506800013","View Full Record in Web of Science")</f>
        <v>View Full Record in Web of Science</v>
      </c>
    </row>
    <row r="781" spans="1:72" x14ac:dyDescent="0.15">
      <c r="A781" t="s">
        <v>72</v>
      </c>
      <c r="B781" t="s">
        <v>12261</v>
      </c>
      <c r="C781" t="s">
        <v>74</v>
      </c>
      <c r="D781" t="s">
        <v>74</v>
      </c>
      <c r="E781" t="s">
        <v>74</v>
      </c>
      <c r="F781" t="s">
        <v>12262</v>
      </c>
      <c r="G781" t="s">
        <v>74</v>
      </c>
      <c r="H781" t="s">
        <v>74</v>
      </c>
      <c r="I781" t="s">
        <v>12263</v>
      </c>
      <c r="J781" t="s">
        <v>1707</v>
      </c>
      <c r="K781" t="s">
        <v>74</v>
      </c>
      <c r="L781" t="s">
        <v>74</v>
      </c>
      <c r="M781" t="s">
        <v>78</v>
      </c>
      <c r="N781" t="s">
        <v>514</v>
      </c>
      <c r="O781" t="s">
        <v>12189</v>
      </c>
      <c r="P781" t="s">
        <v>12190</v>
      </c>
      <c r="Q781" t="s">
        <v>12191</v>
      </c>
      <c r="R781" t="s">
        <v>74</v>
      </c>
      <c r="S781" t="s">
        <v>74</v>
      </c>
      <c r="T781" t="s">
        <v>12264</v>
      </c>
      <c r="U781" t="s">
        <v>12265</v>
      </c>
      <c r="V781" t="s">
        <v>12266</v>
      </c>
      <c r="W781" t="s">
        <v>12267</v>
      </c>
      <c r="X781" t="s">
        <v>12268</v>
      </c>
      <c r="Y781" t="s">
        <v>12269</v>
      </c>
      <c r="Z781" t="s">
        <v>12270</v>
      </c>
      <c r="AA781" t="s">
        <v>12271</v>
      </c>
      <c r="AB781" t="s">
        <v>12272</v>
      </c>
      <c r="AC781" t="s">
        <v>74</v>
      </c>
      <c r="AD781" t="s">
        <v>74</v>
      </c>
      <c r="AE781" t="s">
        <v>74</v>
      </c>
      <c r="AF781" t="s">
        <v>74</v>
      </c>
      <c r="AG781">
        <v>48</v>
      </c>
      <c r="AH781">
        <v>74</v>
      </c>
      <c r="AI781">
        <v>87</v>
      </c>
      <c r="AJ781">
        <v>0</v>
      </c>
      <c r="AK781">
        <v>25</v>
      </c>
      <c r="AL781" t="s">
        <v>1715</v>
      </c>
      <c r="AM781" t="s">
        <v>1504</v>
      </c>
      <c r="AN781" t="s">
        <v>1716</v>
      </c>
      <c r="AO781" t="s">
        <v>1717</v>
      </c>
      <c r="AP781" t="s">
        <v>1718</v>
      </c>
      <c r="AQ781" t="s">
        <v>74</v>
      </c>
      <c r="AR781" t="s">
        <v>1719</v>
      </c>
      <c r="AS781" t="s">
        <v>1720</v>
      </c>
      <c r="AT781" t="s">
        <v>11681</v>
      </c>
      <c r="AU781">
        <v>2007</v>
      </c>
      <c r="AV781">
        <v>59</v>
      </c>
      <c r="AW781">
        <v>2</v>
      </c>
      <c r="AX781" t="s">
        <v>74</v>
      </c>
      <c r="AY781" t="s">
        <v>74</v>
      </c>
      <c r="AZ781" t="s">
        <v>74</v>
      </c>
      <c r="BA781" t="s">
        <v>74</v>
      </c>
      <c r="BB781">
        <v>366</v>
      </c>
      <c r="BC781">
        <v>376</v>
      </c>
      <c r="BD781" t="s">
        <v>74</v>
      </c>
      <c r="BE781" t="s">
        <v>12273</v>
      </c>
      <c r="BF781" t="str">
        <f>HYPERLINK("http://dx.doi.org/10.1111/j.1574-6941.2006.00257.x","http://dx.doi.org/10.1111/j.1574-6941.2006.00257.x")</f>
        <v>http://dx.doi.org/10.1111/j.1574-6941.2006.00257.x</v>
      </c>
      <c r="BG781" t="s">
        <v>74</v>
      </c>
      <c r="BH781" t="s">
        <v>74</v>
      </c>
      <c r="BI781">
        <v>11</v>
      </c>
      <c r="BJ781" t="s">
        <v>1722</v>
      </c>
      <c r="BK781" t="s">
        <v>535</v>
      </c>
      <c r="BL781" t="s">
        <v>1722</v>
      </c>
      <c r="BM781" t="s">
        <v>12202</v>
      </c>
      <c r="BN781">
        <v>17313583</v>
      </c>
      <c r="BO781" t="s">
        <v>154</v>
      </c>
      <c r="BP781" t="s">
        <v>74</v>
      </c>
      <c r="BQ781" t="s">
        <v>74</v>
      </c>
      <c r="BR781" t="s">
        <v>101</v>
      </c>
      <c r="BS781" t="s">
        <v>12274</v>
      </c>
      <c r="BT781" t="str">
        <f>HYPERLINK("https%3A%2F%2Fwww.webofscience.com%2Fwos%2Fwoscc%2Ffull-record%2FWOS:000243506800015","View Full Record in Web of Science")</f>
        <v>View Full Record in Web of Science</v>
      </c>
    </row>
    <row r="782" spans="1:72" x14ac:dyDescent="0.15">
      <c r="A782" t="s">
        <v>72</v>
      </c>
      <c r="B782" t="s">
        <v>12275</v>
      </c>
      <c r="C782" t="s">
        <v>74</v>
      </c>
      <c r="D782" t="s">
        <v>74</v>
      </c>
      <c r="E782" t="s">
        <v>74</v>
      </c>
      <c r="F782" t="s">
        <v>12276</v>
      </c>
      <c r="G782" t="s">
        <v>74</v>
      </c>
      <c r="H782" t="s">
        <v>74</v>
      </c>
      <c r="I782" t="s">
        <v>12277</v>
      </c>
      <c r="J782" t="s">
        <v>1707</v>
      </c>
      <c r="K782" t="s">
        <v>74</v>
      </c>
      <c r="L782" t="s">
        <v>74</v>
      </c>
      <c r="M782" t="s">
        <v>78</v>
      </c>
      <c r="N782" t="s">
        <v>514</v>
      </c>
      <c r="O782" t="s">
        <v>12189</v>
      </c>
      <c r="P782" t="s">
        <v>12190</v>
      </c>
      <c r="Q782" t="s">
        <v>12191</v>
      </c>
      <c r="R782" t="s">
        <v>74</v>
      </c>
      <c r="S782" t="s">
        <v>74</v>
      </c>
      <c r="T782" t="s">
        <v>12278</v>
      </c>
      <c r="U782" t="s">
        <v>12279</v>
      </c>
      <c r="V782" t="s">
        <v>12280</v>
      </c>
      <c r="W782" t="s">
        <v>12281</v>
      </c>
      <c r="X782" t="s">
        <v>12282</v>
      </c>
      <c r="Y782" t="s">
        <v>12283</v>
      </c>
      <c r="Z782" t="s">
        <v>12284</v>
      </c>
      <c r="AA782" t="s">
        <v>12285</v>
      </c>
      <c r="AB782" t="s">
        <v>12286</v>
      </c>
      <c r="AC782" t="s">
        <v>74</v>
      </c>
      <c r="AD782" t="s">
        <v>74</v>
      </c>
      <c r="AE782" t="s">
        <v>74</v>
      </c>
      <c r="AF782" t="s">
        <v>74</v>
      </c>
      <c r="AG782">
        <v>38</v>
      </c>
      <c r="AH782">
        <v>63</v>
      </c>
      <c r="AI782">
        <v>68</v>
      </c>
      <c r="AJ782">
        <v>3</v>
      </c>
      <c r="AK782">
        <v>35</v>
      </c>
      <c r="AL782" t="s">
        <v>1715</v>
      </c>
      <c r="AM782" t="s">
        <v>1504</v>
      </c>
      <c r="AN782" t="s">
        <v>1716</v>
      </c>
      <c r="AO782" t="s">
        <v>1717</v>
      </c>
      <c r="AP782" t="s">
        <v>1718</v>
      </c>
      <c r="AQ782" t="s">
        <v>74</v>
      </c>
      <c r="AR782" t="s">
        <v>1719</v>
      </c>
      <c r="AS782" t="s">
        <v>1720</v>
      </c>
      <c r="AT782" t="s">
        <v>11681</v>
      </c>
      <c r="AU782">
        <v>2007</v>
      </c>
      <c r="AV782">
        <v>59</v>
      </c>
      <c r="AW782">
        <v>2</v>
      </c>
      <c r="AX782" t="s">
        <v>74</v>
      </c>
      <c r="AY782" t="s">
        <v>74</v>
      </c>
      <c r="AZ782" t="s">
        <v>74</v>
      </c>
      <c r="BA782" t="s">
        <v>74</v>
      </c>
      <c r="BB782">
        <v>377</v>
      </c>
      <c r="BC782">
        <v>385</v>
      </c>
      <c r="BD782" t="s">
        <v>74</v>
      </c>
      <c r="BE782" t="s">
        <v>12287</v>
      </c>
      <c r="BF782" t="str">
        <f>HYPERLINK("http://dx.doi.org/10.1111/j.1574-6941.2006.00221.x","http://dx.doi.org/10.1111/j.1574-6941.2006.00221.x")</f>
        <v>http://dx.doi.org/10.1111/j.1574-6941.2006.00221.x</v>
      </c>
      <c r="BG782" t="s">
        <v>74</v>
      </c>
      <c r="BH782" t="s">
        <v>74</v>
      </c>
      <c r="BI782">
        <v>9</v>
      </c>
      <c r="BJ782" t="s">
        <v>1722</v>
      </c>
      <c r="BK782" t="s">
        <v>535</v>
      </c>
      <c r="BL782" t="s">
        <v>1722</v>
      </c>
      <c r="BM782" t="s">
        <v>12202</v>
      </c>
      <c r="BN782">
        <v>17069622</v>
      </c>
      <c r="BO782" t="s">
        <v>154</v>
      </c>
      <c r="BP782" t="s">
        <v>74</v>
      </c>
      <c r="BQ782" t="s">
        <v>74</v>
      </c>
      <c r="BR782" t="s">
        <v>101</v>
      </c>
      <c r="BS782" t="s">
        <v>12288</v>
      </c>
      <c r="BT782" t="str">
        <f>HYPERLINK("https%3A%2F%2Fwww.webofscience.com%2Fwos%2Fwoscc%2Ffull-record%2FWOS:000243506800016","View Full Record in Web of Science")</f>
        <v>View Full Record in Web of Science</v>
      </c>
    </row>
    <row r="783" spans="1:72" x14ac:dyDescent="0.15">
      <c r="A783" t="s">
        <v>72</v>
      </c>
      <c r="B783" t="s">
        <v>12289</v>
      </c>
      <c r="C783" t="s">
        <v>74</v>
      </c>
      <c r="D783" t="s">
        <v>74</v>
      </c>
      <c r="E783" t="s">
        <v>74</v>
      </c>
      <c r="F783" t="s">
        <v>12290</v>
      </c>
      <c r="G783" t="s">
        <v>74</v>
      </c>
      <c r="H783" t="s">
        <v>74</v>
      </c>
      <c r="I783" t="s">
        <v>12291</v>
      </c>
      <c r="J783" t="s">
        <v>1707</v>
      </c>
      <c r="K783" t="s">
        <v>74</v>
      </c>
      <c r="L783" t="s">
        <v>74</v>
      </c>
      <c r="M783" t="s">
        <v>78</v>
      </c>
      <c r="N783" t="s">
        <v>514</v>
      </c>
      <c r="O783" t="s">
        <v>12189</v>
      </c>
      <c r="P783" t="s">
        <v>12190</v>
      </c>
      <c r="Q783" t="s">
        <v>12191</v>
      </c>
      <c r="R783" t="s">
        <v>74</v>
      </c>
      <c r="S783" t="s">
        <v>74</v>
      </c>
      <c r="T783" t="s">
        <v>12292</v>
      </c>
      <c r="U783" t="s">
        <v>12293</v>
      </c>
      <c r="V783" t="s">
        <v>12294</v>
      </c>
      <c r="W783" t="s">
        <v>12295</v>
      </c>
      <c r="X783" t="s">
        <v>12296</v>
      </c>
      <c r="Y783" t="s">
        <v>12297</v>
      </c>
      <c r="Z783" t="s">
        <v>12298</v>
      </c>
      <c r="AA783" t="s">
        <v>12299</v>
      </c>
      <c r="AB783" t="s">
        <v>12300</v>
      </c>
      <c r="AC783" t="s">
        <v>74</v>
      </c>
      <c r="AD783" t="s">
        <v>74</v>
      </c>
      <c r="AE783" t="s">
        <v>74</v>
      </c>
      <c r="AF783" t="s">
        <v>74</v>
      </c>
      <c r="AG783">
        <v>63</v>
      </c>
      <c r="AH783">
        <v>93</v>
      </c>
      <c r="AI783">
        <v>104</v>
      </c>
      <c r="AJ783">
        <v>0</v>
      </c>
      <c r="AK783">
        <v>23</v>
      </c>
      <c r="AL783" t="s">
        <v>1715</v>
      </c>
      <c r="AM783" t="s">
        <v>1504</v>
      </c>
      <c r="AN783" t="s">
        <v>1716</v>
      </c>
      <c r="AO783" t="s">
        <v>1717</v>
      </c>
      <c r="AP783" t="s">
        <v>1718</v>
      </c>
      <c r="AQ783" t="s">
        <v>74</v>
      </c>
      <c r="AR783" t="s">
        <v>1719</v>
      </c>
      <c r="AS783" t="s">
        <v>1720</v>
      </c>
      <c r="AT783" t="s">
        <v>11681</v>
      </c>
      <c r="AU783">
        <v>2007</v>
      </c>
      <c r="AV783">
        <v>59</v>
      </c>
      <c r="AW783">
        <v>2</v>
      </c>
      <c r="AX783" t="s">
        <v>74</v>
      </c>
      <c r="AY783" t="s">
        <v>74</v>
      </c>
      <c r="AZ783" t="s">
        <v>74</v>
      </c>
      <c r="BA783" t="s">
        <v>74</v>
      </c>
      <c r="BB783">
        <v>386</v>
      </c>
      <c r="BC783">
        <v>395</v>
      </c>
      <c r="BD783" t="s">
        <v>74</v>
      </c>
      <c r="BE783" t="s">
        <v>12301</v>
      </c>
      <c r="BF783" t="str">
        <f>HYPERLINK("http://dx.doi.org/10.1111/j.1574-6941.2006.00256.x","http://dx.doi.org/10.1111/j.1574-6941.2006.00256.x")</f>
        <v>http://dx.doi.org/10.1111/j.1574-6941.2006.00256.x</v>
      </c>
      <c r="BG783" t="s">
        <v>74</v>
      </c>
      <c r="BH783" t="s">
        <v>74</v>
      </c>
      <c r="BI783">
        <v>10</v>
      </c>
      <c r="BJ783" t="s">
        <v>1722</v>
      </c>
      <c r="BK783" t="s">
        <v>535</v>
      </c>
      <c r="BL783" t="s">
        <v>1722</v>
      </c>
      <c r="BM783" t="s">
        <v>12202</v>
      </c>
      <c r="BN783">
        <v>17328119</v>
      </c>
      <c r="BO783" t="s">
        <v>154</v>
      </c>
      <c r="BP783" t="s">
        <v>74</v>
      </c>
      <c r="BQ783" t="s">
        <v>74</v>
      </c>
      <c r="BR783" t="s">
        <v>101</v>
      </c>
      <c r="BS783" t="s">
        <v>12302</v>
      </c>
      <c r="BT783" t="str">
        <f>HYPERLINK("https%3A%2F%2Fwww.webofscience.com%2Fwos%2Fwoscc%2Ffull-record%2FWOS:000243506800017","View Full Record in Web of Science")</f>
        <v>View Full Record in Web of Science</v>
      </c>
    </row>
    <row r="784" spans="1:72" x14ac:dyDescent="0.15">
      <c r="A784" t="s">
        <v>72</v>
      </c>
      <c r="B784" t="s">
        <v>12303</v>
      </c>
      <c r="C784" t="s">
        <v>74</v>
      </c>
      <c r="D784" t="s">
        <v>74</v>
      </c>
      <c r="E784" t="s">
        <v>74</v>
      </c>
      <c r="F784" t="s">
        <v>12304</v>
      </c>
      <c r="G784" t="s">
        <v>74</v>
      </c>
      <c r="H784" t="s">
        <v>74</v>
      </c>
      <c r="I784" t="s">
        <v>12305</v>
      </c>
      <c r="J784" t="s">
        <v>1707</v>
      </c>
      <c r="K784" t="s">
        <v>74</v>
      </c>
      <c r="L784" t="s">
        <v>74</v>
      </c>
      <c r="M784" t="s">
        <v>78</v>
      </c>
      <c r="N784" t="s">
        <v>514</v>
      </c>
      <c r="O784" t="s">
        <v>12189</v>
      </c>
      <c r="P784" t="s">
        <v>12190</v>
      </c>
      <c r="Q784" t="s">
        <v>12191</v>
      </c>
      <c r="R784" t="s">
        <v>74</v>
      </c>
      <c r="S784" t="s">
        <v>74</v>
      </c>
      <c r="T784" t="s">
        <v>12306</v>
      </c>
      <c r="U784" t="s">
        <v>12307</v>
      </c>
      <c r="V784" t="s">
        <v>12308</v>
      </c>
      <c r="W784" t="s">
        <v>12309</v>
      </c>
      <c r="X784" t="s">
        <v>12310</v>
      </c>
      <c r="Y784" t="s">
        <v>12311</v>
      </c>
      <c r="Z784" t="s">
        <v>12312</v>
      </c>
      <c r="AA784" t="s">
        <v>12313</v>
      </c>
      <c r="AB784" t="s">
        <v>12314</v>
      </c>
      <c r="AC784" t="s">
        <v>3097</v>
      </c>
      <c r="AD784" t="s">
        <v>361</v>
      </c>
      <c r="AE784" t="s">
        <v>74</v>
      </c>
      <c r="AF784" t="s">
        <v>74</v>
      </c>
      <c r="AG784">
        <v>84</v>
      </c>
      <c r="AH784">
        <v>51</v>
      </c>
      <c r="AI784">
        <v>57</v>
      </c>
      <c r="AJ784">
        <v>0</v>
      </c>
      <c r="AK784">
        <v>25</v>
      </c>
      <c r="AL784" t="s">
        <v>1715</v>
      </c>
      <c r="AM784" t="s">
        <v>1504</v>
      </c>
      <c r="AN784" t="s">
        <v>1716</v>
      </c>
      <c r="AO784" t="s">
        <v>1717</v>
      </c>
      <c r="AP784" t="s">
        <v>1718</v>
      </c>
      <c r="AQ784" t="s">
        <v>74</v>
      </c>
      <c r="AR784" t="s">
        <v>1719</v>
      </c>
      <c r="AS784" t="s">
        <v>1720</v>
      </c>
      <c r="AT784" t="s">
        <v>11681</v>
      </c>
      <c r="AU784">
        <v>2007</v>
      </c>
      <c r="AV784">
        <v>59</v>
      </c>
      <c r="AW784">
        <v>2</v>
      </c>
      <c r="AX784" t="s">
        <v>74</v>
      </c>
      <c r="AY784" t="s">
        <v>74</v>
      </c>
      <c r="AZ784" t="s">
        <v>74</v>
      </c>
      <c r="BA784" t="s">
        <v>74</v>
      </c>
      <c r="BB784">
        <v>396</v>
      </c>
      <c r="BC784">
        <v>408</v>
      </c>
      <c r="BD784" t="s">
        <v>74</v>
      </c>
      <c r="BE784" t="s">
        <v>12315</v>
      </c>
      <c r="BF784" t="str">
        <f>HYPERLINK("http://dx.doi.org/10.1111/j.1574-6941.2006.00259.x","http://dx.doi.org/10.1111/j.1574-6941.2006.00259.x")</f>
        <v>http://dx.doi.org/10.1111/j.1574-6941.2006.00259.x</v>
      </c>
      <c r="BG784" t="s">
        <v>74</v>
      </c>
      <c r="BH784" t="s">
        <v>74</v>
      </c>
      <c r="BI784">
        <v>13</v>
      </c>
      <c r="BJ784" t="s">
        <v>1722</v>
      </c>
      <c r="BK784" t="s">
        <v>535</v>
      </c>
      <c r="BL784" t="s">
        <v>1722</v>
      </c>
      <c r="BM784" t="s">
        <v>12202</v>
      </c>
      <c r="BN784">
        <v>17313584</v>
      </c>
      <c r="BO784" t="s">
        <v>154</v>
      </c>
      <c r="BP784" t="s">
        <v>74</v>
      </c>
      <c r="BQ784" t="s">
        <v>74</v>
      </c>
      <c r="BR784" t="s">
        <v>101</v>
      </c>
      <c r="BS784" t="s">
        <v>12316</v>
      </c>
      <c r="BT784" t="str">
        <f>HYPERLINK("https%3A%2F%2Fwww.webofscience.com%2Fwos%2Fwoscc%2Ffull-record%2FWOS:000243506800018","View Full Record in Web of Science")</f>
        <v>View Full Record in Web of Science</v>
      </c>
    </row>
    <row r="785" spans="1:72" x14ac:dyDescent="0.15">
      <c r="A785" t="s">
        <v>72</v>
      </c>
      <c r="B785" t="s">
        <v>12317</v>
      </c>
      <c r="C785" t="s">
        <v>74</v>
      </c>
      <c r="D785" t="s">
        <v>74</v>
      </c>
      <c r="E785" t="s">
        <v>74</v>
      </c>
      <c r="F785" t="s">
        <v>12318</v>
      </c>
      <c r="G785" t="s">
        <v>74</v>
      </c>
      <c r="H785" t="s">
        <v>74</v>
      </c>
      <c r="I785" t="s">
        <v>12319</v>
      </c>
      <c r="J785" t="s">
        <v>1707</v>
      </c>
      <c r="K785" t="s">
        <v>74</v>
      </c>
      <c r="L785" t="s">
        <v>74</v>
      </c>
      <c r="M785" t="s">
        <v>78</v>
      </c>
      <c r="N785" t="s">
        <v>514</v>
      </c>
      <c r="O785" t="s">
        <v>12189</v>
      </c>
      <c r="P785" t="s">
        <v>12190</v>
      </c>
      <c r="Q785" t="s">
        <v>12191</v>
      </c>
      <c r="R785" t="s">
        <v>74</v>
      </c>
      <c r="S785" t="s">
        <v>74</v>
      </c>
      <c r="T785" t="s">
        <v>12320</v>
      </c>
      <c r="U785" t="s">
        <v>12321</v>
      </c>
      <c r="V785" t="s">
        <v>12322</v>
      </c>
      <c r="W785" t="s">
        <v>12323</v>
      </c>
      <c r="X785" t="s">
        <v>12324</v>
      </c>
      <c r="Y785" t="s">
        <v>12325</v>
      </c>
      <c r="Z785" t="s">
        <v>12326</v>
      </c>
      <c r="AA785" t="s">
        <v>12327</v>
      </c>
      <c r="AB785" t="s">
        <v>12328</v>
      </c>
      <c r="AC785" t="s">
        <v>74</v>
      </c>
      <c r="AD785" t="s">
        <v>74</v>
      </c>
      <c r="AE785" t="s">
        <v>74</v>
      </c>
      <c r="AF785" t="s">
        <v>74</v>
      </c>
      <c r="AG785">
        <v>29</v>
      </c>
      <c r="AH785">
        <v>22</v>
      </c>
      <c r="AI785">
        <v>24</v>
      </c>
      <c r="AJ785">
        <v>2</v>
      </c>
      <c r="AK785">
        <v>11</v>
      </c>
      <c r="AL785" t="s">
        <v>1715</v>
      </c>
      <c r="AM785" t="s">
        <v>1504</v>
      </c>
      <c r="AN785" t="s">
        <v>1716</v>
      </c>
      <c r="AO785" t="s">
        <v>1717</v>
      </c>
      <c r="AP785" t="s">
        <v>1718</v>
      </c>
      <c r="AQ785" t="s">
        <v>74</v>
      </c>
      <c r="AR785" t="s">
        <v>1719</v>
      </c>
      <c r="AS785" t="s">
        <v>1720</v>
      </c>
      <c r="AT785" t="s">
        <v>11681</v>
      </c>
      <c r="AU785">
        <v>2007</v>
      </c>
      <c r="AV785">
        <v>59</v>
      </c>
      <c r="AW785">
        <v>2</v>
      </c>
      <c r="AX785" t="s">
        <v>74</v>
      </c>
      <c r="AY785" t="s">
        <v>74</v>
      </c>
      <c r="AZ785" t="s">
        <v>74</v>
      </c>
      <c r="BA785" t="s">
        <v>74</v>
      </c>
      <c r="BB785">
        <v>409</v>
      </c>
      <c r="BC785">
        <v>417</v>
      </c>
      <c r="BD785" t="s">
        <v>74</v>
      </c>
      <c r="BE785" t="s">
        <v>12329</v>
      </c>
      <c r="BF785" t="str">
        <f>HYPERLINK("http://dx.doi.org/10.1111/j.1574-6941.2006.00242.x","http://dx.doi.org/10.1111/j.1574-6941.2006.00242.x")</f>
        <v>http://dx.doi.org/10.1111/j.1574-6941.2006.00242.x</v>
      </c>
      <c r="BG785" t="s">
        <v>74</v>
      </c>
      <c r="BH785" t="s">
        <v>74</v>
      </c>
      <c r="BI785">
        <v>9</v>
      </c>
      <c r="BJ785" t="s">
        <v>1722</v>
      </c>
      <c r="BK785" t="s">
        <v>535</v>
      </c>
      <c r="BL785" t="s">
        <v>1722</v>
      </c>
      <c r="BM785" t="s">
        <v>12202</v>
      </c>
      <c r="BN785">
        <v>17328120</v>
      </c>
      <c r="BO785" t="s">
        <v>154</v>
      </c>
      <c r="BP785" t="s">
        <v>74</v>
      </c>
      <c r="BQ785" t="s">
        <v>74</v>
      </c>
      <c r="BR785" t="s">
        <v>101</v>
      </c>
      <c r="BS785" t="s">
        <v>12330</v>
      </c>
      <c r="BT785" t="str">
        <f>HYPERLINK("https%3A%2F%2Fwww.webofscience.com%2Fwos%2Fwoscc%2Ffull-record%2FWOS:000243506800019","View Full Record in Web of Science")</f>
        <v>View Full Record in Web of Science</v>
      </c>
    </row>
    <row r="786" spans="1:72" x14ac:dyDescent="0.15">
      <c r="A786" t="s">
        <v>72</v>
      </c>
      <c r="B786" t="s">
        <v>12331</v>
      </c>
      <c r="C786" t="s">
        <v>74</v>
      </c>
      <c r="D786" t="s">
        <v>74</v>
      </c>
      <c r="E786" t="s">
        <v>74</v>
      </c>
      <c r="F786" t="s">
        <v>12332</v>
      </c>
      <c r="G786" t="s">
        <v>74</v>
      </c>
      <c r="H786" t="s">
        <v>74</v>
      </c>
      <c r="I786" t="s">
        <v>12333</v>
      </c>
      <c r="J786" t="s">
        <v>1707</v>
      </c>
      <c r="K786" t="s">
        <v>74</v>
      </c>
      <c r="L786" t="s">
        <v>74</v>
      </c>
      <c r="M786" t="s">
        <v>78</v>
      </c>
      <c r="N786" t="s">
        <v>514</v>
      </c>
      <c r="O786" t="s">
        <v>12189</v>
      </c>
      <c r="P786" t="s">
        <v>12190</v>
      </c>
      <c r="Q786" t="s">
        <v>12191</v>
      </c>
      <c r="R786" t="s">
        <v>74</v>
      </c>
      <c r="S786" t="s">
        <v>74</v>
      </c>
      <c r="T786" t="s">
        <v>12334</v>
      </c>
      <c r="U786" t="s">
        <v>12335</v>
      </c>
      <c r="V786" t="s">
        <v>12336</v>
      </c>
      <c r="W786" t="s">
        <v>12337</v>
      </c>
      <c r="X786" t="s">
        <v>12338</v>
      </c>
      <c r="Y786" t="s">
        <v>12339</v>
      </c>
      <c r="Z786" t="s">
        <v>12340</v>
      </c>
      <c r="AA786" t="s">
        <v>12341</v>
      </c>
      <c r="AB786" t="s">
        <v>12342</v>
      </c>
      <c r="AC786" t="s">
        <v>74</v>
      </c>
      <c r="AD786" t="s">
        <v>74</v>
      </c>
      <c r="AE786" t="s">
        <v>74</v>
      </c>
      <c r="AF786" t="s">
        <v>74</v>
      </c>
      <c r="AG786">
        <v>69</v>
      </c>
      <c r="AH786">
        <v>171</v>
      </c>
      <c r="AI786">
        <v>198</v>
      </c>
      <c r="AJ786">
        <v>3</v>
      </c>
      <c r="AK786">
        <v>75</v>
      </c>
      <c r="AL786" t="s">
        <v>1715</v>
      </c>
      <c r="AM786" t="s">
        <v>1504</v>
      </c>
      <c r="AN786" t="s">
        <v>1716</v>
      </c>
      <c r="AO786" t="s">
        <v>1717</v>
      </c>
      <c r="AP786" t="s">
        <v>1718</v>
      </c>
      <c r="AQ786" t="s">
        <v>74</v>
      </c>
      <c r="AR786" t="s">
        <v>1719</v>
      </c>
      <c r="AS786" t="s">
        <v>1720</v>
      </c>
      <c r="AT786" t="s">
        <v>11681</v>
      </c>
      <c r="AU786">
        <v>2007</v>
      </c>
      <c r="AV786">
        <v>59</v>
      </c>
      <c r="AW786">
        <v>2</v>
      </c>
      <c r="AX786" t="s">
        <v>74</v>
      </c>
      <c r="AY786" t="s">
        <v>74</v>
      </c>
      <c r="AZ786" t="s">
        <v>74</v>
      </c>
      <c r="BA786" t="s">
        <v>74</v>
      </c>
      <c r="BB786">
        <v>436</v>
      </c>
      <c r="BC786">
        <v>451</v>
      </c>
      <c r="BD786" t="s">
        <v>74</v>
      </c>
      <c r="BE786" t="s">
        <v>12343</v>
      </c>
      <c r="BF786" t="str">
        <f>HYPERLINK("http://dx.doi.org/10.1111/j.1574-6941.2006.00200.x","http://dx.doi.org/10.1111/j.1574-6941.2006.00200.x")</f>
        <v>http://dx.doi.org/10.1111/j.1574-6941.2006.00200.x</v>
      </c>
      <c r="BG786" t="s">
        <v>74</v>
      </c>
      <c r="BH786" t="s">
        <v>74</v>
      </c>
      <c r="BI786">
        <v>16</v>
      </c>
      <c r="BJ786" t="s">
        <v>1722</v>
      </c>
      <c r="BK786" t="s">
        <v>535</v>
      </c>
      <c r="BL786" t="s">
        <v>1722</v>
      </c>
      <c r="BM786" t="s">
        <v>12202</v>
      </c>
      <c r="BN786">
        <v>16978243</v>
      </c>
      <c r="BO786" t="s">
        <v>154</v>
      </c>
      <c r="BP786" t="s">
        <v>74</v>
      </c>
      <c r="BQ786" t="s">
        <v>74</v>
      </c>
      <c r="BR786" t="s">
        <v>101</v>
      </c>
      <c r="BS786" t="s">
        <v>12344</v>
      </c>
      <c r="BT786" t="str">
        <f>HYPERLINK("https%3A%2F%2Fwww.webofscience.com%2Fwos%2Fwoscc%2Ffull-record%2FWOS:000243506800022","View Full Record in Web of Science")</f>
        <v>View Full Record in Web of Science</v>
      </c>
    </row>
    <row r="787" spans="1:72" x14ac:dyDescent="0.15">
      <c r="A787" t="s">
        <v>72</v>
      </c>
      <c r="B787" t="s">
        <v>12345</v>
      </c>
      <c r="C787" t="s">
        <v>74</v>
      </c>
      <c r="D787" t="s">
        <v>74</v>
      </c>
      <c r="E787" t="s">
        <v>74</v>
      </c>
      <c r="F787" t="s">
        <v>12346</v>
      </c>
      <c r="G787" t="s">
        <v>74</v>
      </c>
      <c r="H787" t="s">
        <v>74</v>
      </c>
      <c r="I787" t="s">
        <v>12347</v>
      </c>
      <c r="J787" t="s">
        <v>1707</v>
      </c>
      <c r="K787" t="s">
        <v>74</v>
      </c>
      <c r="L787" t="s">
        <v>74</v>
      </c>
      <c r="M787" t="s">
        <v>78</v>
      </c>
      <c r="N787" t="s">
        <v>514</v>
      </c>
      <c r="O787" t="s">
        <v>12189</v>
      </c>
      <c r="P787" t="s">
        <v>12190</v>
      </c>
      <c r="Q787" t="s">
        <v>12191</v>
      </c>
      <c r="R787" t="s">
        <v>74</v>
      </c>
      <c r="S787" t="s">
        <v>74</v>
      </c>
      <c r="T787" t="s">
        <v>12348</v>
      </c>
      <c r="U787" t="s">
        <v>12349</v>
      </c>
      <c r="V787" t="s">
        <v>12350</v>
      </c>
      <c r="W787" t="s">
        <v>12351</v>
      </c>
      <c r="X787" t="s">
        <v>12352</v>
      </c>
      <c r="Y787" t="s">
        <v>12353</v>
      </c>
      <c r="Z787" t="s">
        <v>12354</v>
      </c>
      <c r="AA787" t="s">
        <v>12355</v>
      </c>
      <c r="AB787" t="s">
        <v>12356</v>
      </c>
      <c r="AC787" t="s">
        <v>74</v>
      </c>
      <c r="AD787" t="s">
        <v>74</v>
      </c>
      <c r="AE787" t="s">
        <v>74</v>
      </c>
      <c r="AF787" t="s">
        <v>74</v>
      </c>
      <c r="AG787">
        <v>24</v>
      </c>
      <c r="AH787">
        <v>23</v>
      </c>
      <c r="AI787">
        <v>24</v>
      </c>
      <c r="AJ787">
        <v>0</v>
      </c>
      <c r="AK787">
        <v>21</v>
      </c>
      <c r="AL787" t="s">
        <v>1715</v>
      </c>
      <c r="AM787" t="s">
        <v>1504</v>
      </c>
      <c r="AN787" t="s">
        <v>1716</v>
      </c>
      <c r="AO787" t="s">
        <v>1717</v>
      </c>
      <c r="AP787" t="s">
        <v>1718</v>
      </c>
      <c r="AQ787" t="s">
        <v>74</v>
      </c>
      <c r="AR787" t="s">
        <v>1719</v>
      </c>
      <c r="AS787" t="s">
        <v>1720</v>
      </c>
      <c r="AT787" t="s">
        <v>11681</v>
      </c>
      <c r="AU787">
        <v>2007</v>
      </c>
      <c r="AV787">
        <v>59</v>
      </c>
      <c r="AW787">
        <v>2</v>
      </c>
      <c r="AX787" t="s">
        <v>74</v>
      </c>
      <c r="AY787" t="s">
        <v>74</v>
      </c>
      <c r="AZ787" t="s">
        <v>74</v>
      </c>
      <c r="BA787" t="s">
        <v>74</v>
      </c>
      <c r="BB787">
        <v>535</v>
      </c>
      <c r="BC787">
        <v>542</v>
      </c>
      <c r="BD787" t="s">
        <v>74</v>
      </c>
      <c r="BE787" t="s">
        <v>12357</v>
      </c>
      <c r="BF787" t="str">
        <f>HYPERLINK("http://dx.doi.org/10.1111/j.1574-6941.2006.00208.x","http://dx.doi.org/10.1111/j.1574-6941.2006.00208.x")</f>
        <v>http://dx.doi.org/10.1111/j.1574-6941.2006.00208.x</v>
      </c>
      <c r="BG787" t="s">
        <v>74</v>
      </c>
      <c r="BH787" t="s">
        <v>74</v>
      </c>
      <c r="BI787">
        <v>8</v>
      </c>
      <c r="BJ787" t="s">
        <v>1722</v>
      </c>
      <c r="BK787" t="s">
        <v>535</v>
      </c>
      <c r="BL787" t="s">
        <v>1722</v>
      </c>
      <c r="BM787" t="s">
        <v>12202</v>
      </c>
      <c r="BN787">
        <v>17059485</v>
      </c>
      <c r="BO787" t="s">
        <v>154</v>
      </c>
      <c r="BP787" t="s">
        <v>74</v>
      </c>
      <c r="BQ787" t="s">
        <v>74</v>
      </c>
      <c r="BR787" t="s">
        <v>101</v>
      </c>
      <c r="BS787" t="s">
        <v>12358</v>
      </c>
      <c r="BT787" t="str">
        <f>HYPERLINK("https%3A%2F%2Fwww.webofscience.com%2Fwos%2Fwoscc%2Ffull-record%2FWOS:000243506800030","View Full Record in Web of Science")</f>
        <v>View Full Record in Web of Science</v>
      </c>
    </row>
    <row r="788" spans="1:72" x14ac:dyDescent="0.15">
      <c r="A788" t="s">
        <v>72</v>
      </c>
      <c r="B788" t="s">
        <v>12359</v>
      </c>
      <c r="C788" t="s">
        <v>74</v>
      </c>
      <c r="D788" t="s">
        <v>74</v>
      </c>
      <c r="E788" t="s">
        <v>74</v>
      </c>
      <c r="F788" t="s">
        <v>12360</v>
      </c>
      <c r="G788" t="s">
        <v>74</v>
      </c>
      <c r="H788" t="s">
        <v>74</v>
      </c>
      <c r="I788" t="s">
        <v>12361</v>
      </c>
      <c r="J788" t="s">
        <v>7405</v>
      </c>
      <c r="K788" t="s">
        <v>74</v>
      </c>
      <c r="L788" t="s">
        <v>74</v>
      </c>
      <c r="M788" t="s">
        <v>78</v>
      </c>
      <c r="N788" t="s">
        <v>79</v>
      </c>
      <c r="O788" t="s">
        <v>74</v>
      </c>
      <c r="P788" t="s">
        <v>74</v>
      </c>
      <c r="Q788" t="s">
        <v>74</v>
      </c>
      <c r="R788" t="s">
        <v>74</v>
      </c>
      <c r="S788" t="s">
        <v>74</v>
      </c>
      <c r="T788" t="s">
        <v>12362</v>
      </c>
      <c r="U788" t="s">
        <v>12363</v>
      </c>
      <c r="V788" t="s">
        <v>12364</v>
      </c>
      <c r="W788" t="s">
        <v>12365</v>
      </c>
      <c r="X788" t="s">
        <v>12366</v>
      </c>
      <c r="Y788" t="s">
        <v>12367</v>
      </c>
      <c r="Z788" t="s">
        <v>12368</v>
      </c>
      <c r="AA788" t="s">
        <v>12369</v>
      </c>
      <c r="AB788" t="s">
        <v>12370</v>
      </c>
      <c r="AC788" t="s">
        <v>74</v>
      </c>
      <c r="AD788" t="s">
        <v>74</v>
      </c>
      <c r="AE788" t="s">
        <v>74</v>
      </c>
      <c r="AF788" t="s">
        <v>74</v>
      </c>
      <c r="AG788">
        <v>84</v>
      </c>
      <c r="AH788">
        <v>37</v>
      </c>
      <c r="AI788">
        <v>40</v>
      </c>
      <c r="AJ788">
        <v>1</v>
      </c>
      <c r="AK788">
        <v>18</v>
      </c>
      <c r="AL788" t="s">
        <v>272</v>
      </c>
      <c r="AM788" t="s">
        <v>273</v>
      </c>
      <c r="AN788" t="s">
        <v>274</v>
      </c>
      <c r="AO788" t="s">
        <v>7415</v>
      </c>
      <c r="AP788" t="s">
        <v>7416</v>
      </c>
      <c r="AQ788" t="s">
        <v>74</v>
      </c>
      <c r="AR788" t="s">
        <v>7417</v>
      </c>
      <c r="AS788" t="s">
        <v>7418</v>
      </c>
      <c r="AT788" t="s">
        <v>11681</v>
      </c>
      <c r="AU788">
        <v>2007</v>
      </c>
      <c r="AV788">
        <v>83</v>
      </c>
      <c r="AW788" t="s">
        <v>2608</v>
      </c>
      <c r="AX788" t="s">
        <v>74</v>
      </c>
      <c r="AY788" t="s">
        <v>74</v>
      </c>
      <c r="AZ788" t="s">
        <v>74</v>
      </c>
      <c r="BA788" t="s">
        <v>74</v>
      </c>
      <c r="BB788">
        <v>204</v>
      </c>
      <c r="BC788">
        <v>215</v>
      </c>
      <c r="BD788" t="s">
        <v>74</v>
      </c>
      <c r="BE788" t="s">
        <v>12371</v>
      </c>
      <c r="BF788" t="str">
        <f>HYPERLINK("http://dx.doi.org/10.1016/j.fishres.2006.09.016","http://dx.doi.org/10.1016/j.fishres.2006.09.016")</f>
        <v>http://dx.doi.org/10.1016/j.fishres.2006.09.016</v>
      </c>
      <c r="BG788" t="s">
        <v>74</v>
      </c>
      <c r="BH788" t="s">
        <v>74</v>
      </c>
      <c r="BI788">
        <v>12</v>
      </c>
      <c r="BJ788" t="s">
        <v>1210</v>
      </c>
      <c r="BK788" t="s">
        <v>98</v>
      </c>
      <c r="BL788" t="s">
        <v>1210</v>
      </c>
      <c r="BM788" t="s">
        <v>12372</v>
      </c>
      <c r="BN788" t="s">
        <v>74</v>
      </c>
      <c r="BO788" t="s">
        <v>74</v>
      </c>
      <c r="BP788" t="s">
        <v>74</v>
      </c>
      <c r="BQ788" t="s">
        <v>74</v>
      </c>
      <c r="BR788" t="s">
        <v>101</v>
      </c>
      <c r="BS788" t="s">
        <v>12373</v>
      </c>
      <c r="BT788" t="str">
        <f>HYPERLINK("https%3A%2F%2Fwww.webofscience.com%2Fwos%2Fwoscc%2Ffull-record%2FWOS:000243847200009","View Full Record in Web of Science")</f>
        <v>View Full Record in Web of Science</v>
      </c>
    </row>
    <row r="789" spans="1:72" x14ac:dyDescent="0.15">
      <c r="A789" t="s">
        <v>72</v>
      </c>
      <c r="B789" t="s">
        <v>12374</v>
      </c>
      <c r="C789" t="s">
        <v>74</v>
      </c>
      <c r="D789" t="s">
        <v>74</v>
      </c>
      <c r="E789" t="s">
        <v>74</v>
      </c>
      <c r="F789" t="s">
        <v>12375</v>
      </c>
      <c r="G789" t="s">
        <v>74</v>
      </c>
      <c r="H789" t="s">
        <v>74</v>
      </c>
      <c r="I789" t="s">
        <v>12376</v>
      </c>
      <c r="J789" t="s">
        <v>1766</v>
      </c>
      <c r="K789" t="s">
        <v>74</v>
      </c>
      <c r="L789" t="s">
        <v>74</v>
      </c>
      <c r="M789" t="s">
        <v>78</v>
      </c>
      <c r="N789" t="s">
        <v>79</v>
      </c>
      <c r="O789" t="s">
        <v>74</v>
      </c>
      <c r="P789" t="s">
        <v>74</v>
      </c>
      <c r="Q789" t="s">
        <v>74</v>
      </c>
      <c r="R789" t="s">
        <v>74</v>
      </c>
      <c r="S789" t="s">
        <v>74</v>
      </c>
      <c r="T789" t="s">
        <v>74</v>
      </c>
      <c r="U789" t="s">
        <v>12377</v>
      </c>
      <c r="V789" t="s">
        <v>12378</v>
      </c>
      <c r="W789" t="s">
        <v>12379</v>
      </c>
      <c r="X789" t="s">
        <v>12380</v>
      </c>
      <c r="Y789" t="s">
        <v>12381</v>
      </c>
      <c r="Z789" t="s">
        <v>12382</v>
      </c>
      <c r="AA789" t="s">
        <v>12383</v>
      </c>
      <c r="AB789" t="s">
        <v>12384</v>
      </c>
      <c r="AC789" t="s">
        <v>74</v>
      </c>
      <c r="AD789" t="s">
        <v>74</v>
      </c>
      <c r="AE789" t="s">
        <v>74</v>
      </c>
      <c r="AF789" t="s">
        <v>74</v>
      </c>
      <c r="AG789">
        <v>50</v>
      </c>
      <c r="AH789">
        <v>37</v>
      </c>
      <c r="AI789">
        <v>41</v>
      </c>
      <c r="AJ789">
        <v>0</v>
      </c>
      <c r="AK789">
        <v>13</v>
      </c>
      <c r="AL789" t="s">
        <v>1503</v>
      </c>
      <c r="AM789" t="s">
        <v>1504</v>
      </c>
      <c r="AN789" t="s">
        <v>1505</v>
      </c>
      <c r="AO789" t="s">
        <v>1775</v>
      </c>
      <c r="AP789" t="s">
        <v>1790</v>
      </c>
      <c r="AQ789" t="s">
        <v>74</v>
      </c>
      <c r="AR789" t="s">
        <v>1776</v>
      </c>
      <c r="AS789" t="s">
        <v>1777</v>
      </c>
      <c r="AT789" t="s">
        <v>12385</v>
      </c>
      <c r="AU789">
        <v>2007</v>
      </c>
      <c r="AV789">
        <v>71</v>
      </c>
      <c r="AW789">
        <v>3</v>
      </c>
      <c r="AX789" t="s">
        <v>74</v>
      </c>
      <c r="AY789" t="s">
        <v>74</v>
      </c>
      <c r="AZ789" t="s">
        <v>74</v>
      </c>
      <c r="BA789" t="s">
        <v>74</v>
      </c>
      <c r="BB789">
        <v>782</v>
      </c>
      <c r="BC789">
        <v>795</v>
      </c>
      <c r="BD789" t="s">
        <v>74</v>
      </c>
      <c r="BE789" t="s">
        <v>12386</v>
      </c>
      <c r="BF789" t="str">
        <f>HYPERLINK("http://dx.doi.org/10.1016/j.gca.2006.10.023","http://dx.doi.org/10.1016/j.gca.2006.10.023")</f>
        <v>http://dx.doi.org/10.1016/j.gca.2006.10.023</v>
      </c>
      <c r="BG789" t="s">
        <v>74</v>
      </c>
      <c r="BH789" t="s">
        <v>74</v>
      </c>
      <c r="BI789">
        <v>14</v>
      </c>
      <c r="BJ789" t="s">
        <v>688</v>
      </c>
      <c r="BK789" t="s">
        <v>98</v>
      </c>
      <c r="BL789" t="s">
        <v>688</v>
      </c>
      <c r="BM789" t="s">
        <v>12387</v>
      </c>
      <c r="BN789" t="s">
        <v>74</v>
      </c>
      <c r="BO789" t="s">
        <v>74</v>
      </c>
      <c r="BP789" t="s">
        <v>74</v>
      </c>
      <c r="BQ789" t="s">
        <v>74</v>
      </c>
      <c r="BR789" t="s">
        <v>101</v>
      </c>
      <c r="BS789" t="s">
        <v>12388</v>
      </c>
      <c r="BT789" t="str">
        <f>HYPERLINK("https%3A%2F%2Fwww.webofscience.com%2Fwos%2Fwoscc%2Ffull-record%2FWOS:000243944700019","View Full Record in Web of Science")</f>
        <v>View Full Record in Web of Science</v>
      </c>
    </row>
    <row r="790" spans="1:72" x14ac:dyDescent="0.15">
      <c r="A790" t="s">
        <v>72</v>
      </c>
      <c r="B790" t="s">
        <v>12389</v>
      </c>
      <c r="C790" t="s">
        <v>74</v>
      </c>
      <c r="D790" t="s">
        <v>74</v>
      </c>
      <c r="E790" t="s">
        <v>74</v>
      </c>
      <c r="F790" t="s">
        <v>12390</v>
      </c>
      <c r="G790" t="s">
        <v>74</v>
      </c>
      <c r="H790" t="s">
        <v>74</v>
      </c>
      <c r="I790" t="s">
        <v>12391</v>
      </c>
      <c r="J790" t="s">
        <v>1832</v>
      </c>
      <c r="K790" t="s">
        <v>74</v>
      </c>
      <c r="L790" t="s">
        <v>74</v>
      </c>
      <c r="M790" t="s">
        <v>78</v>
      </c>
      <c r="N790" t="s">
        <v>79</v>
      </c>
      <c r="O790" t="s">
        <v>74</v>
      </c>
      <c r="P790" t="s">
        <v>74</v>
      </c>
      <c r="Q790" t="s">
        <v>74</v>
      </c>
      <c r="R790" t="s">
        <v>74</v>
      </c>
      <c r="S790" t="s">
        <v>74</v>
      </c>
      <c r="T790" t="s">
        <v>12392</v>
      </c>
      <c r="U790" t="s">
        <v>12393</v>
      </c>
      <c r="V790" t="s">
        <v>12394</v>
      </c>
      <c r="W790" t="s">
        <v>12395</v>
      </c>
      <c r="X790" t="s">
        <v>12396</v>
      </c>
      <c r="Y790" t="s">
        <v>10623</v>
      </c>
      <c r="Z790" t="s">
        <v>74</v>
      </c>
      <c r="AA790" t="s">
        <v>12397</v>
      </c>
      <c r="AB790" t="s">
        <v>12398</v>
      </c>
      <c r="AC790" t="s">
        <v>74</v>
      </c>
      <c r="AD790" t="s">
        <v>74</v>
      </c>
      <c r="AE790" t="s">
        <v>74</v>
      </c>
      <c r="AF790" t="s">
        <v>74</v>
      </c>
      <c r="AG790">
        <v>31</v>
      </c>
      <c r="AH790">
        <v>162</v>
      </c>
      <c r="AI790">
        <v>177</v>
      </c>
      <c r="AJ790">
        <v>1</v>
      </c>
      <c r="AK790">
        <v>56</v>
      </c>
      <c r="AL790" t="s">
        <v>1840</v>
      </c>
      <c r="AM790" t="s">
        <v>1263</v>
      </c>
      <c r="AN790" t="s">
        <v>1841</v>
      </c>
      <c r="AO790" t="s">
        <v>1842</v>
      </c>
      <c r="AP790" t="s">
        <v>1843</v>
      </c>
      <c r="AQ790" t="s">
        <v>74</v>
      </c>
      <c r="AR790" t="s">
        <v>1832</v>
      </c>
      <c r="AS790" t="s">
        <v>152</v>
      </c>
      <c r="AT790" t="s">
        <v>11681</v>
      </c>
      <c r="AU790">
        <v>2007</v>
      </c>
      <c r="AV790">
        <v>35</v>
      </c>
      <c r="AW790">
        <v>2</v>
      </c>
      <c r="AX790" t="s">
        <v>74</v>
      </c>
      <c r="AY790" t="s">
        <v>74</v>
      </c>
      <c r="AZ790" t="s">
        <v>74</v>
      </c>
      <c r="BA790" t="s">
        <v>74</v>
      </c>
      <c r="BB790">
        <v>127</v>
      </c>
      <c r="BC790">
        <v>130</v>
      </c>
      <c r="BD790" t="s">
        <v>74</v>
      </c>
      <c r="BE790" t="s">
        <v>12399</v>
      </c>
      <c r="BF790" t="str">
        <f>HYPERLINK("http://dx.doi.org/10.1130/G23036A.1","http://dx.doi.org/10.1130/G23036A.1")</f>
        <v>http://dx.doi.org/10.1130/G23036A.1</v>
      </c>
      <c r="BG790" t="s">
        <v>74</v>
      </c>
      <c r="BH790" t="s">
        <v>74</v>
      </c>
      <c r="BI790">
        <v>4</v>
      </c>
      <c r="BJ790" t="s">
        <v>152</v>
      </c>
      <c r="BK790" t="s">
        <v>98</v>
      </c>
      <c r="BL790" t="s">
        <v>152</v>
      </c>
      <c r="BM790" t="s">
        <v>12400</v>
      </c>
      <c r="BN790" t="s">
        <v>74</v>
      </c>
      <c r="BO790" t="s">
        <v>74</v>
      </c>
      <c r="BP790" t="s">
        <v>74</v>
      </c>
      <c r="BQ790" t="s">
        <v>74</v>
      </c>
      <c r="BR790" t="s">
        <v>101</v>
      </c>
      <c r="BS790" t="s">
        <v>12401</v>
      </c>
      <c r="BT790" t="str">
        <f>HYPERLINK("https%3A%2F%2Fwww.webofscience.com%2Fwos%2Fwoscc%2Ffull-record%2FWOS:000243948500008","View Full Record in Web of Science")</f>
        <v>View Full Record in Web of Science</v>
      </c>
    </row>
    <row r="791" spans="1:72" x14ac:dyDescent="0.15">
      <c r="A791" t="s">
        <v>72</v>
      </c>
      <c r="B791" t="s">
        <v>12402</v>
      </c>
      <c r="C791" t="s">
        <v>74</v>
      </c>
      <c r="D791" t="s">
        <v>74</v>
      </c>
      <c r="E791" t="s">
        <v>74</v>
      </c>
      <c r="F791" t="s">
        <v>12403</v>
      </c>
      <c r="G791" t="s">
        <v>74</v>
      </c>
      <c r="H791" t="s">
        <v>74</v>
      </c>
      <c r="I791" t="s">
        <v>12404</v>
      </c>
      <c r="J791" t="s">
        <v>1863</v>
      </c>
      <c r="K791" t="s">
        <v>74</v>
      </c>
      <c r="L791" t="s">
        <v>74</v>
      </c>
      <c r="M791" t="s">
        <v>78</v>
      </c>
      <c r="N791" t="s">
        <v>79</v>
      </c>
      <c r="O791" t="s">
        <v>74</v>
      </c>
      <c r="P791" t="s">
        <v>74</v>
      </c>
      <c r="Q791" t="s">
        <v>74</v>
      </c>
      <c r="R791" t="s">
        <v>74</v>
      </c>
      <c r="S791" t="s">
        <v>74</v>
      </c>
      <c r="T791" t="s">
        <v>74</v>
      </c>
      <c r="U791" t="s">
        <v>12405</v>
      </c>
      <c r="V791" t="s">
        <v>12406</v>
      </c>
      <c r="W791" t="s">
        <v>12407</v>
      </c>
      <c r="X791" t="s">
        <v>12408</v>
      </c>
      <c r="Y791" t="s">
        <v>12409</v>
      </c>
      <c r="Z791" t="s">
        <v>74</v>
      </c>
      <c r="AA791" t="s">
        <v>12410</v>
      </c>
      <c r="AB791" t="s">
        <v>2582</v>
      </c>
      <c r="AC791" t="s">
        <v>74</v>
      </c>
      <c r="AD791" t="s">
        <v>74</v>
      </c>
      <c r="AE791" t="s">
        <v>74</v>
      </c>
      <c r="AF791" t="s">
        <v>74</v>
      </c>
      <c r="AG791">
        <v>25</v>
      </c>
      <c r="AH791">
        <v>2</v>
      </c>
      <c r="AI791">
        <v>3</v>
      </c>
      <c r="AJ791">
        <v>0</v>
      </c>
      <c r="AK791">
        <v>4</v>
      </c>
      <c r="AL791" t="s">
        <v>1677</v>
      </c>
      <c r="AM791" t="s">
        <v>1593</v>
      </c>
      <c r="AN791" t="s">
        <v>1678</v>
      </c>
      <c r="AO791" t="s">
        <v>1871</v>
      </c>
      <c r="AP791" t="s">
        <v>1872</v>
      </c>
      <c r="AQ791" t="s">
        <v>74</v>
      </c>
      <c r="AR791" t="s">
        <v>1873</v>
      </c>
      <c r="AS791" t="s">
        <v>1874</v>
      </c>
      <c r="AT791" t="s">
        <v>11681</v>
      </c>
      <c r="AU791">
        <v>2007</v>
      </c>
      <c r="AV791">
        <v>47</v>
      </c>
      <c r="AW791">
        <v>1</v>
      </c>
      <c r="AX791" t="s">
        <v>74</v>
      </c>
      <c r="AY791" t="s">
        <v>74</v>
      </c>
      <c r="AZ791" t="s">
        <v>74</v>
      </c>
      <c r="BA791" t="s">
        <v>74</v>
      </c>
      <c r="BB791">
        <v>76</v>
      </c>
      <c r="BC791">
        <v>84</v>
      </c>
      <c r="BD791" t="s">
        <v>74</v>
      </c>
      <c r="BE791" t="s">
        <v>12411</v>
      </c>
      <c r="BF791" t="str">
        <f>HYPERLINK("http://dx.doi.org/10.1134/S0016793207010124","http://dx.doi.org/10.1134/S0016793207010124")</f>
        <v>http://dx.doi.org/10.1134/S0016793207010124</v>
      </c>
      <c r="BG791" t="s">
        <v>74</v>
      </c>
      <c r="BH791" t="s">
        <v>74</v>
      </c>
      <c r="BI791">
        <v>9</v>
      </c>
      <c r="BJ791" t="s">
        <v>688</v>
      </c>
      <c r="BK791" t="s">
        <v>98</v>
      </c>
      <c r="BL791" t="s">
        <v>688</v>
      </c>
      <c r="BM791" t="s">
        <v>12412</v>
      </c>
      <c r="BN791" t="s">
        <v>74</v>
      </c>
      <c r="BO791" t="s">
        <v>74</v>
      </c>
      <c r="BP791" t="s">
        <v>74</v>
      </c>
      <c r="BQ791" t="s">
        <v>74</v>
      </c>
      <c r="BR791" t="s">
        <v>101</v>
      </c>
      <c r="BS791" t="s">
        <v>12413</v>
      </c>
      <c r="BT791" t="str">
        <f>HYPERLINK("https%3A%2F%2Fwww.webofscience.com%2Fwos%2Fwoscc%2Ffull-record%2FWOS:000244578800012","View Full Record in Web of Science")</f>
        <v>View Full Record in Web of Science</v>
      </c>
    </row>
    <row r="792" spans="1:72" x14ac:dyDescent="0.15">
      <c r="A792" t="s">
        <v>72</v>
      </c>
      <c r="B792" t="s">
        <v>12414</v>
      </c>
      <c r="C792" t="s">
        <v>74</v>
      </c>
      <c r="D792" t="s">
        <v>74</v>
      </c>
      <c r="E792" t="s">
        <v>74</v>
      </c>
      <c r="F792" t="s">
        <v>12415</v>
      </c>
      <c r="G792" t="s">
        <v>74</v>
      </c>
      <c r="H792" t="s">
        <v>74</v>
      </c>
      <c r="I792" t="s">
        <v>12416</v>
      </c>
      <c r="J792" t="s">
        <v>1863</v>
      </c>
      <c r="K792" t="s">
        <v>74</v>
      </c>
      <c r="L792" t="s">
        <v>74</v>
      </c>
      <c r="M792" t="s">
        <v>78</v>
      </c>
      <c r="N792" t="s">
        <v>79</v>
      </c>
      <c r="O792" t="s">
        <v>74</v>
      </c>
      <c r="P792" t="s">
        <v>74</v>
      </c>
      <c r="Q792" t="s">
        <v>74</v>
      </c>
      <c r="R792" t="s">
        <v>74</v>
      </c>
      <c r="S792" t="s">
        <v>74</v>
      </c>
      <c r="T792" t="s">
        <v>74</v>
      </c>
      <c r="U792" t="s">
        <v>12417</v>
      </c>
      <c r="V792" t="s">
        <v>12418</v>
      </c>
      <c r="W792" t="s">
        <v>3253</v>
      </c>
      <c r="X792" t="s">
        <v>2367</v>
      </c>
      <c r="Y792" t="s">
        <v>12419</v>
      </c>
      <c r="Z792" t="s">
        <v>74</v>
      </c>
      <c r="AA792" t="s">
        <v>74</v>
      </c>
      <c r="AB792" t="s">
        <v>74</v>
      </c>
      <c r="AC792" t="s">
        <v>74</v>
      </c>
      <c r="AD792" t="s">
        <v>74</v>
      </c>
      <c r="AE792" t="s">
        <v>74</v>
      </c>
      <c r="AF792" t="s">
        <v>74</v>
      </c>
      <c r="AG792">
        <v>17</v>
      </c>
      <c r="AH792">
        <v>1</v>
      </c>
      <c r="AI792">
        <v>1</v>
      </c>
      <c r="AJ792">
        <v>0</v>
      </c>
      <c r="AK792">
        <v>0</v>
      </c>
      <c r="AL792" t="s">
        <v>1677</v>
      </c>
      <c r="AM792" t="s">
        <v>1593</v>
      </c>
      <c r="AN792" t="s">
        <v>1678</v>
      </c>
      <c r="AO792" t="s">
        <v>1871</v>
      </c>
      <c r="AP792" t="s">
        <v>74</v>
      </c>
      <c r="AQ792" t="s">
        <v>74</v>
      </c>
      <c r="AR792" t="s">
        <v>1873</v>
      </c>
      <c r="AS792" t="s">
        <v>1874</v>
      </c>
      <c r="AT792" t="s">
        <v>11681</v>
      </c>
      <c r="AU792">
        <v>2007</v>
      </c>
      <c r="AV792">
        <v>47</v>
      </c>
      <c r="AW792">
        <v>1</v>
      </c>
      <c r="AX792" t="s">
        <v>74</v>
      </c>
      <c r="AY792" t="s">
        <v>74</v>
      </c>
      <c r="AZ792" t="s">
        <v>74</v>
      </c>
      <c r="BA792" t="s">
        <v>74</v>
      </c>
      <c r="BB792">
        <v>94</v>
      </c>
      <c r="BC792">
        <v>100</v>
      </c>
      <c r="BD792" t="s">
        <v>74</v>
      </c>
      <c r="BE792" t="s">
        <v>12420</v>
      </c>
      <c r="BF792" t="str">
        <f>HYPERLINK("http://dx.doi.org/10.1134/S0016793207010148","http://dx.doi.org/10.1134/S0016793207010148")</f>
        <v>http://dx.doi.org/10.1134/S0016793207010148</v>
      </c>
      <c r="BG792" t="s">
        <v>74</v>
      </c>
      <c r="BH792" t="s">
        <v>74</v>
      </c>
      <c r="BI792">
        <v>7</v>
      </c>
      <c r="BJ792" t="s">
        <v>688</v>
      </c>
      <c r="BK792" t="s">
        <v>98</v>
      </c>
      <c r="BL792" t="s">
        <v>688</v>
      </c>
      <c r="BM792" t="s">
        <v>12412</v>
      </c>
      <c r="BN792" t="s">
        <v>74</v>
      </c>
      <c r="BO792" t="s">
        <v>74</v>
      </c>
      <c r="BP792" t="s">
        <v>74</v>
      </c>
      <c r="BQ792" t="s">
        <v>74</v>
      </c>
      <c r="BR792" t="s">
        <v>101</v>
      </c>
      <c r="BS792" t="s">
        <v>12421</v>
      </c>
      <c r="BT792" t="str">
        <f>HYPERLINK("https%3A%2F%2Fwww.webofscience.com%2Fwos%2Fwoscc%2Ffull-record%2FWOS:000244578800014","View Full Record in Web of Science")</f>
        <v>View Full Record in Web of Science</v>
      </c>
    </row>
    <row r="793" spans="1:72" x14ac:dyDescent="0.15">
      <c r="A793" t="s">
        <v>72</v>
      </c>
      <c r="B793" t="s">
        <v>12422</v>
      </c>
      <c r="C793" t="s">
        <v>74</v>
      </c>
      <c r="D793" t="s">
        <v>74</v>
      </c>
      <c r="E793" t="s">
        <v>74</v>
      </c>
      <c r="F793" t="s">
        <v>12423</v>
      </c>
      <c r="G793" t="s">
        <v>74</v>
      </c>
      <c r="H793" t="s">
        <v>74</v>
      </c>
      <c r="I793" t="s">
        <v>12424</v>
      </c>
      <c r="J793" t="s">
        <v>12425</v>
      </c>
      <c r="K793" t="s">
        <v>74</v>
      </c>
      <c r="L793" t="s">
        <v>74</v>
      </c>
      <c r="M793" t="s">
        <v>78</v>
      </c>
      <c r="N793" t="s">
        <v>79</v>
      </c>
      <c r="O793" t="s">
        <v>74</v>
      </c>
      <c r="P793" t="s">
        <v>74</v>
      </c>
      <c r="Q793" t="s">
        <v>74</v>
      </c>
      <c r="R793" t="s">
        <v>74</v>
      </c>
      <c r="S793" t="s">
        <v>74</v>
      </c>
      <c r="T793" t="s">
        <v>12426</v>
      </c>
      <c r="U793" t="s">
        <v>12427</v>
      </c>
      <c r="V793" t="s">
        <v>12428</v>
      </c>
      <c r="W793" t="s">
        <v>12429</v>
      </c>
      <c r="X793" t="s">
        <v>12430</v>
      </c>
      <c r="Y793" t="s">
        <v>12431</v>
      </c>
      <c r="Z793" t="s">
        <v>12432</v>
      </c>
      <c r="AA793" t="s">
        <v>12433</v>
      </c>
      <c r="AB793" t="s">
        <v>12434</v>
      </c>
      <c r="AC793" t="s">
        <v>74</v>
      </c>
      <c r="AD793" t="s">
        <v>74</v>
      </c>
      <c r="AE793" t="s">
        <v>74</v>
      </c>
      <c r="AF793" t="s">
        <v>74</v>
      </c>
      <c r="AG793">
        <v>13</v>
      </c>
      <c r="AH793">
        <v>5</v>
      </c>
      <c r="AI793">
        <v>5</v>
      </c>
      <c r="AJ793">
        <v>0</v>
      </c>
      <c r="AK793">
        <v>5</v>
      </c>
      <c r="AL793" t="s">
        <v>5872</v>
      </c>
      <c r="AM793" t="s">
        <v>5873</v>
      </c>
      <c r="AN793" t="s">
        <v>5874</v>
      </c>
      <c r="AO793" t="s">
        <v>12435</v>
      </c>
      <c r="AP793" t="s">
        <v>12436</v>
      </c>
      <c r="AQ793" t="s">
        <v>74</v>
      </c>
      <c r="AR793" t="s">
        <v>12437</v>
      </c>
      <c r="AS793" t="s">
        <v>12438</v>
      </c>
      <c r="AT793" t="s">
        <v>11681</v>
      </c>
      <c r="AU793">
        <v>2007</v>
      </c>
      <c r="AV793">
        <v>175</v>
      </c>
      <c r="AW793" t="s">
        <v>1039</v>
      </c>
      <c r="AX793" t="s">
        <v>74</v>
      </c>
      <c r="AY793" t="s">
        <v>74</v>
      </c>
      <c r="AZ793" t="s">
        <v>74</v>
      </c>
      <c r="BA793" t="s">
        <v>74</v>
      </c>
      <c r="BB793">
        <v>9</v>
      </c>
      <c r="BC793">
        <v>14</v>
      </c>
      <c r="BD793" t="s">
        <v>74</v>
      </c>
      <c r="BE793" t="s">
        <v>12439</v>
      </c>
      <c r="BF793" t="str">
        <f>HYPERLINK("http://dx.doi.org/10.1007/s10751-008-9581-4","http://dx.doi.org/10.1007/s10751-008-9581-4")</f>
        <v>http://dx.doi.org/10.1007/s10751-008-9581-4</v>
      </c>
      <c r="BG793" t="s">
        <v>74</v>
      </c>
      <c r="BH793" t="s">
        <v>74</v>
      </c>
      <c r="BI793">
        <v>6</v>
      </c>
      <c r="BJ793" t="s">
        <v>12440</v>
      </c>
      <c r="BK793" t="s">
        <v>98</v>
      </c>
      <c r="BL793" t="s">
        <v>4084</v>
      </c>
      <c r="BM793" t="s">
        <v>12441</v>
      </c>
      <c r="BN793" t="s">
        <v>74</v>
      </c>
      <c r="BO793" t="s">
        <v>74</v>
      </c>
      <c r="BP793" t="s">
        <v>74</v>
      </c>
      <c r="BQ793" t="s">
        <v>74</v>
      </c>
      <c r="BR793" t="s">
        <v>101</v>
      </c>
      <c r="BS793" t="s">
        <v>12442</v>
      </c>
      <c r="BT793" t="str">
        <f>HYPERLINK("https%3A%2F%2Fwww.webofscience.com%2Fwos%2Fwoscc%2Ffull-record%2FWOS:000256911000002","View Full Record in Web of Science")</f>
        <v>View Full Record in Web of Science</v>
      </c>
    </row>
    <row r="794" spans="1:72" x14ac:dyDescent="0.15">
      <c r="A794" t="s">
        <v>72</v>
      </c>
      <c r="B794" t="s">
        <v>12443</v>
      </c>
      <c r="C794" t="s">
        <v>74</v>
      </c>
      <c r="D794" t="s">
        <v>74</v>
      </c>
      <c r="E794" t="s">
        <v>74</v>
      </c>
      <c r="F794" t="s">
        <v>12444</v>
      </c>
      <c r="G794" t="s">
        <v>74</v>
      </c>
      <c r="H794" t="s">
        <v>74</v>
      </c>
      <c r="I794" t="s">
        <v>12445</v>
      </c>
      <c r="J794" t="s">
        <v>1881</v>
      </c>
      <c r="K794" t="s">
        <v>74</v>
      </c>
      <c r="L794" t="s">
        <v>74</v>
      </c>
      <c r="M794" t="s">
        <v>78</v>
      </c>
      <c r="N794" t="s">
        <v>79</v>
      </c>
      <c r="O794" t="s">
        <v>74</v>
      </c>
      <c r="P794" t="s">
        <v>74</v>
      </c>
      <c r="Q794" t="s">
        <v>74</v>
      </c>
      <c r="R794" t="s">
        <v>74</v>
      </c>
      <c r="S794" t="s">
        <v>74</v>
      </c>
      <c r="T794" t="s">
        <v>12446</v>
      </c>
      <c r="U794" t="s">
        <v>12447</v>
      </c>
      <c r="V794" t="s">
        <v>12448</v>
      </c>
      <c r="W794" t="s">
        <v>12449</v>
      </c>
      <c r="X794" t="s">
        <v>12450</v>
      </c>
      <c r="Y794" t="s">
        <v>12451</v>
      </c>
      <c r="Z794" t="s">
        <v>12452</v>
      </c>
      <c r="AA794" t="s">
        <v>74</v>
      </c>
      <c r="AB794" t="s">
        <v>74</v>
      </c>
      <c r="AC794" t="s">
        <v>74</v>
      </c>
      <c r="AD794" t="s">
        <v>74</v>
      </c>
      <c r="AE794" t="s">
        <v>74</v>
      </c>
      <c r="AF794" t="s">
        <v>74</v>
      </c>
      <c r="AG794">
        <v>22</v>
      </c>
      <c r="AH794">
        <v>159</v>
      </c>
      <c r="AI794">
        <v>180</v>
      </c>
      <c r="AJ794">
        <v>1</v>
      </c>
      <c r="AK794">
        <v>40</v>
      </c>
      <c r="AL794" t="s">
        <v>1890</v>
      </c>
      <c r="AM794" t="s">
        <v>1891</v>
      </c>
      <c r="AN794" t="s">
        <v>1892</v>
      </c>
      <c r="AO794" t="s">
        <v>1893</v>
      </c>
      <c r="AP794" t="s">
        <v>1894</v>
      </c>
      <c r="AQ794" t="s">
        <v>74</v>
      </c>
      <c r="AR794" t="s">
        <v>1895</v>
      </c>
      <c r="AS794" t="s">
        <v>1896</v>
      </c>
      <c r="AT794" t="s">
        <v>11681</v>
      </c>
      <c r="AU794">
        <v>2007</v>
      </c>
      <c r="AV794">
        <v>45</v>
      </c>
      <c r="AW794">
        <v>2</v>
      </c>
      <c r="AX794" t="s">
        <v>74</v>
      </c>
      <c r="AY794" t="s">
        <v>74</v>
      </c>
      <c r="AZ794" t="s">
        <v>74</v>
      </c>
      <c r="BA794" t="s">
        <v>74</v>
      </c>
      <c r="BB794">
        <v>321</v>
      </c>
      <c r="BC794">
        <v>331</v>
      </c>
      <c r="BD794" t="s">
        <v>74</v>
      </c>
      <c r="BE794" t="s">
        <v>12453</v>
      </c>
      <c r="BF794" t="str">
        <f>HYPERLINK("http://dx.doi.org/10.1109/TGRS.2006.887172","http://dx.doi.org/10.1109/TGRS.2006.887172")</f>
        <v>http://dx.doi.org/10.1109/TGRS.2006.887172</v>
      </c>
      <c r="BG794" t="s">
        <v>74</v>
      </c>
      <c r="BH794" t="s">
        <v>74</v>
      </c>
      <c r="BI794">
        <v>11</v>
      </c>
      <c r="BJ794" t="s">
        <v>1898</v>
      </c>
      <c r="BK794" t="s">
        <v>98</v>
      </c>
      <c r="BL794" t="s">
        <v>1899</v>
      </c>
      <c r="BM794" t="s">
        <v>12454</v>
      </c>
      <c r="BN794" t="s">
        <v>74</v>
      </c>
      <c r="BO794" t="s">
        <v>74</v>
      </c>
      <c r="BP794" t="s">
        <v>74</v>
      </c>
      <c r="BQ794" t="s">
        <v>74</v>
      </c>
      <c r="BR794" t="s">
        <v>101</v>
      </c>
      <c r="BS794" t="s">
        <v>12455</v>
      </c>
      <c r="BT794" t="str">
        <f>HYPERLINK("https%3A%2F%2Fwww.webofscience.com%2Fwos%2Fwoscc%2Ffull-record%2FWOS:000243857700004","View Full Record in Web of Science")</f>
        <v>View Full Record in Web of Science</v>
      </c>
    </row>
    <row r="795" spans="1:72" x14ac:dyDescent="0.15">
      <c r="A795" t="s">
        <v>72</v>
      </c>
      <c r="B795" t="s">
        <v>12456</v>
      </c>
      <c r="C795" t="s">
        <v>74</v>
      </c>
      <c r="D795" t="s">
        <v>74</v>
      </c>
      <c r="E795" t="s">
        <v>74</v>
      </c>
      <c r="F795" t="s">
        <v>12457</v>
      </c>
      <c r="G795" t="s">
        <v>74</v>
      </c>
      <c r="H795" t="s">
        <v>74</v>
      </c>
      <c r="I795" t="s">
        <v>12458</v>
      </c>
      <c r="J795" t="s">
        <v>12459</v>
      </c>
      <c r="K795" t="s">
        <v>74</v>
      </c>
      <c r="L795" t="s">
        <v>74</v>
      </c>
      <c r="M795" t="s">
        <v>78</v>
      </c>
      <c r="N795" t="s">
        <v>79</v>
      </c>
      <c r="O795" t="s">
        <v>74</v>
      </c>
      <c r="P795" t="s">
        <v>74</v>
      </c>
      <c r="Q795" t="s">
        <v>74</v>
      </c>
      <c r="R795" t="s">
        <v>74</v>
      </c>
      <c r="S795" t="s">
        <v>74</v>
      </c>
      <c r="T795" t="s">
        <v>74</v>
      </c>
      <c r="U795" t="s">
        <v>12460</v>
      </c>
      <c r="V795" t="s">
        <v>12461</v>
      </c>
      <c r="W795" t="s">
        <v>12462</v>
      </c>
      <c r="X795" t="s">
        <v>12463</v>
      </c>
      <c r="Y795" t="s">
        <v>12464</v>
      </c>
      <c r="Z795" t="s">
        <v>12465</v>
      </c>
      <c r="AA795" t="s">
        <v>12466</v>
      </c>
      <c r="AB795" t="s">
        <v>74</v>
      </c>
      <c r="AC795" t="s">
        <v>74</v>
      </c>
      <c r="AD795" t="s">
        <v>74</v>
      </c>
      <c r="AE795" t="s">
        <v>74</v>
      </c>
      <c r="AF795" t="s">
        <v>74</v>
      </c>
      <c r="AG795">
        <v>33</v>
      </c>
      <c r="AH795">
        <v>62</v>
      </c>
      <c r="AI795">
        <v>67</v>
      </c>
      <c r="AJ795">
        <v>2</v>
      </c>
      <c r="AK795">
        <v>18</v>
      </c>
      <c r="AL795" t="s">
        <v>12467</v>
      </c>
      <c r="AM795" t="s">
        <v>12468</v>
      </c>
      <c r="AN795" t="s">
        <v>12469</v>
      </c>
      <c r="AO795" t="s">
        <v>12470</v>
      </c>
      <c r="AP795" t="s">
        <v>74</v>
      </c>
      <c r="AQ795" t="s">
        <v>74</v>
      </c>
      <c r="AR795" t="s">
        <v>12471</v>
      </c>
      <c r="AS795" t="s">
        <v>12472</v>
      </c>
      <c r="AT795" t="s">
        <v>11681</v>
      </c>
      <c r="AU795">
        <v>2007</v>
      </c>
      <c r="AV795">
        <v>57</v>
      </c>
      <c r="AW795" t="s">
        <v>74</v>
      </c>
      <c r="AX795">
        <v>2</v>
      </c>
      <c r="AY795" t="s">
        <v>74</v>
      </c>
      <c r="AZ795" t="s">
        <v>74</v>
      </c>
      <c r="BA795" t="s">
        <v>74</v>
      </c>
      <c r="BB795">
        <v>233</v>
      </c>
      <c r="BC795">
        <v>237</v>
      </c>
      <c r="BD795" t="s">
        <v>74</v>
      </c>
      <c r="BE795" t="s">
        <v>12473</v>
      </c>
      <c r="BF795" t="str">
        <f>HYPERLINK("http://dx.doi.org/10.1099/ijs.0.64669-0","http://dx.doi.org/10.1099/ijs.0.64669-0")</f>
        <v>http://dx.doi.org/10.1099/ijs.0.64669-0</v>
      </c>
      <c r="BG795" t="s">
        <v>74</v>
      </c>
      <c r="BH795" t="s">
        <v>74</v>
      </c>
      <c r="BI795">
        <v>5</v>
      </c>
      <c r="BJ795" t="s">
        <v>1722</v>
      </c>
      <c r="BK795" t="s">
        <v>98</v>
      </c>
      <c r="BL795" t="s">
        <v>1722</v>
      </c>
      <c r="BM795" t="s">
        <v>12474</v>
      </c>
      <c r="BN795">
        <v>17267956</v>
      </c>
      <c r="BO795" t="s">
        <v>154</v>
      </c>
      <c r="BP795" t="s">
        <v>74</v>
      </c>
      <c r="BQ795" t="s">
        <v>74</v>
      </c>
      <c r="BR795" t="s">
        <v>101</v>
      </c>
      <c r="BS795" t="s">
        <v>12475</v>
      </c>
      <c r="BT795" t="str">
        <f>HYPERLINK("https%3A%2F%2Fwww.webofscience.com%2Fwos%2Fwoscc%2Ffull-record%2FWOS:000244577200008","View Full Record in Web of Science")</f>
        <v>View Full Record in Web of Science</v>
      </c>
    </row>
    <row r="796" spans="1:72" x14ac:dyDescent="0.15">
      <c r="A796" t="s">
        <v>72</v>
      </c>
      <c r="B796" t="s">
        <v>12476</v>
      </c>
      <c r="C796" t="s">
        <v>74</v>
      </c>
      <c r="D796" t="s">
        <v>74</v>
      </c>
      <c r="E796" t="s">
        <v>74</v>
      </c>
      <c r="F796" t="s">
        <v>12477</v>
      </c>
      <c r="G796" t="s">
        <v>74</v>
      </c>
      <c r="H796" t="s">
        <v>74</v>
      </c>
      <c r="I796" t="s">
        <v>12478</v>
      </c>
      <c r="J796" t="s">
        <v>12459</v>
      </c>
      <c r="K796" t="s">
        <v>74</v>
      </c>
      <c r="L796" t="s">
        <v>74</v>
      </c>
      <c r="M796" t="s">
        <v>78</v>
      </c>
      <c r="N796" t="s">
        <v>79</v>
      </c>
      <c r="O796" t="s">
        <v>74</v>
      </c>
      <c r="P796" t="s">
        <v>74</v>
      </c>
      <c r="Q796" t="s">
        <v>74</v>
      </c>
      <c r="R796" t="s">
        <v>74</v>
      </c>
      <c r="S796" t="s">
        <v>74</v>
      </c>
      <c r="T796" t="s">
        <v>74</v>
      </c>
      <c r="U796" t="s">
        <v>12479</v>
      </c>
      <c r="V796" t="s">
        <v>12480</v>
      </c>
      <c r="W796" t="s">
        <v>12481</v>
      </c>
      <c r="X796" t="s">
        <v>12482</v>
      </c>
      <c r="Y796" t="s">
        <v>12483</v>
      </c>
      <c r="Z796" t="s">
        <v>12484</v>
      </c>
      <c r="AA796" t="s">
        <v>74</v>
      </c>
      <c r="AB796" t="s">
        <v>12485</v>
      </c>
      <c r="AC796" t="s">
        <v>74</v>
      </c>
      <c r="AD796" t="s">
        <v>74</v>
      </c>
      <c r="AE796" t="s">
        <v>74</v>
      </c>
      <c r="AF796" t="s">
        <v>74</v>
      </c>
      <c r="AG796">
        <v>38</v>
      </c>
      <c r="AH796">
        <v>59</v>
      </c>
      <c r="AI796">
        <v>63</v>
      </c>
      <c r="AJ796">
        <v>2</v>
      </c>
      <c r="AK796">
        <v>13</v>
      </c>
      <c r="AL796" t="s">
        <v>12467</v>
      </c>
      <c r="AM796" t="s">
        <v>12468</v>
      </c>
      <c r="AN796" t="s">
        <v>12469</v>
      </c>
      <c r="AO796" t="s">
        <v>12470</v>
      </c>
      <c r="AP796" t="s">
        <v>74</v>
      </c>
      <c r="AQ796" t="s">
        <v>74</v>
      </c>
      <c r="AR796" t="s">
        <v>12471</v>
      </c>
      <c r="AS796" t="s">
        <v>12472</v>
      </c>
      <c r="AT796" t="s">
        <v>11681</v>
      </c>
      <c r="AU796">
        <v>2007</v>
      </c>
      <c r="AV796">
        <v>57</v>
      </c>
      <c r="AW796" t="s">
        <v>74</v>
      </c>
      <c r="AX796">
        <v>2</v>
      </c>
      <c r="AY796" t="s">
        <v>74</v>
      </c>
      <c r="AZ796" t="s">
        <v>74</v>
      </c>
      <c r="BA796" t="s">
        <v>74</v>
      </c>
      <c r="BB796">
        <v>243</v>
      </c>
      <c r="BC796">
        <v>249</v>
      </c>
      <c r="BD796" t="s">
        <v>74</v>
      </c>
      <c r="BE796" t="s">
        <v>12486</v>
      </c>
      <c r="BF796" t="str">
        <f>HYPERLINK("http://dx.doi.org/10.1099/ijs.0.64556-0","http://dx.doi.org/10.1099/ijs.0.64556-0")</f>
        <v>http://dx.doi.org/10.1099/ijs.0.64556-0</v>
      </c>
      <c r="BG796" t="s">
        <v>74</v>
      </c>
      <c r="BH796" t="s">
        <v>74</v>
      </c>
      <c r="BI796">
        <v>7</v>
      </c>
      <c r="BJ796" t="s">
        <v>1722</v>
      </c>
      <c r="BK796" t="s">
        <v>98</v>
      </c>
      <c r="BL796" t="s">
        <v>1722</v>
      </c>
      <c r="BM796" t="s">
        <v>12474</v>
      </c>
      <c r="BN796">
        <v>17267958</v>
      </c>
      <c r="BO796" t="s">
        <v>154</v>
      </c>
      <c r="BP796" t="s">
        <v>74</v>
      </c>
      <c r="BQ796" t="s">
        <v>74</v>
      </c>
      <c r="BR796" t="s">
        <v>101</v>
      </c>
      <c r="BS796" t="s">
        <v>12487</v>
      </c>
      <c r="BT796" t="str">
        <f>HYPERLINK("https%3A%2F%2Fwww.webofscience.com%2Fwos%2Fwoscc%2Ffull-record%2FWOS:000244577200010","View Full Record in Web of Science")</f>
        <v>View Full Record in Web of Science</v>
      </c>
    </row>
    <row r="797" spans="1:72" x14ac:dyDescent="0.15">
      <c r="A797" t="s">
        <v>72</v>
      </c>
      <c r="B797" t="s">
        <v>12488</v>
      </c>
      <c r="C797" t="s">
        <v>74</v>
      </c>
      <c r="D797" t="s">
        <v>74</v>
      </c>
      <c r="E797" t="s">
        <v>74</v>
      </c>
      <c r="F797" t="s">
        <v>12489</v>
      </c>
      <c r="G797" t="s">
        <v>74</v>
      </c>
      <c r="H797" t="s">
        <v>74</v>
      </c>
      <c r="I797" t="s">
        <v>12490</v>
      </c>
      <c r="J797" t="s">
        <v>12491</v>
      </c>
      <c r="K797" t="s">
        <v>74</v>
      </c>
      <c r="L797" t="s">
        <v>74</v>
      </c>
      <c r="M797" t="s">
        <v>78</v>
      </c>
      <c r="N797" t="s">
        <v>79</v>
      </c>
      <c r="O797" t="s">
        <v>74</v>
      </c>
      <c r="P797" t="s">
        <v>74</v>
      </c>
      <c r="Q797" t="s">
        <v>74</v>
      </c>
      <c r="R797" t="s">
        <v>74</v>
      </c>
      <c r="S797" t="s">
        <v>74</v>
      </c>
      <c r="T797" t="s">
        <v>12492</v>
      </c>
      <c r="U797" t="s">
        <v>12493</v>
      </c>
      <c r="V797" t="s">
        <v>12494</v>
      </c>
      <c r="W797" t="s">
        <v>12495</v>
      </c>
      <c r="X797" t="s">
        <v>12496</v>
      </c>
      <c r="Y797" t="s">
        <v>12497</v>
      </c>
      <c r="Z797" t="s">
        <v>12498</v>
      </c>
      <c r="AA797" t="s">
        <v>12499</v>
      </c>
      <c r="AB797" t="s">
        <v>12500</v>
      </c>
      <c r="AC797" t="s">
        <v>74</v>
      </c>
      <c r="AD797" t="s">
        <v>74</v>
      </c>
      <c r="AE797" t="s">
        <v>74</v>
      </c>
      <c r="AF797" t="s">
        <v>74</v>
      </c>
      <c r="AG797">
        <v>26</v>
      </c>
      <c r="AH797">
        <v>1</v>
      </c>
      <c r="AI797">
        <v>1</v>
      </c>
      <c r="AJ797">
        <v>1</v>
      </c>
      <c r="AK797">
        <v>15</v>
      </c>
      <c r="AL797" t="s">
        <v>1592</v>
      </c>
      <c r="AM797" t="s">
        <v>2052</v>
      </c>
      <c r="AN797" t="s">
        <v>2053</v>
      </c>
      <c r="AO797" t="s">
        <v>12501</v>
      </c>
      <c r="AP797" t="s">
        <v>12502</v>
      </c>
      <c r="AQ797" t="s">
        <v>74</v>
      </c>
      <c r="AR797" t="s">
        <v>12503</v>
      </c>
      <c r="AS797" t="s">
        <v>12504</v>
      </c>
      <c r="AT797" t="s">
        <v>11681</v>
      </c>
      <c r="AU797">
        <v>2007</v>
      </c>
      <c r="AV797">
        <v>19</v>
      </c>
      <c r="AW797">
        <v>1</v>
      </c>
      <c r="AX797" t="s">
        <v>74</v>
      </c>
      <c r="AY797" t="s">
        <v>74</v>
      </c>
      <c r="AZ797" t="s">
        <v>74</v>
      </c>
      <c r="BA797" t="s">
        <v>74</v>
      </c>
      <c r="BB797">
        <v>71</v>
      </c>
      <c r="BC797">
        <v>77</v>
      </c>
      <c r="BD797" t="s">
        <v>74</v>
      </c>
      <c r="BE797" t="s">
        <v>12505</v>
      </c>
      <c r="BF797" t="str">
        <f>HYPERLINK("http://dx.doi.org/10.1007/s10811-006-9112-0","http://dx.doi.org/10.1007/s10811-006-9112-0")</f>
        <v>http://dx.doi.org/10.1007/s10811-006-9112-0</v>
      </c>
      <c r="BG797" t="s">
        <v>74</v>
      </c>
      <c r="BH797" t="s">
        <v>74</v>
      </c>
      <c r="BI797">
        <v>7</v>
      </c>
      <c r="BJ797" t="s">
        <v>7732</v>
      </c>
      <c r="BK797" t="s">
        <v>98</v>
      </c>
      <c r="BL797" t="s">
        <v>7732</v>
      </c>
      <c r="BM797" t="s">
        <v>12506</v>
      </c>
      <c r="BN797" t="s">
        <v>74</v>
      </c>
      <c r="BO797" t="s">
        <v>1249</v>
      </c>
      <c r="BP797" t="s">
        <v>74</v>
      </c>
      <c r="BQ797" t="s">
        <v>74</v>
      </c>
      <c r="BR797" t="s">
        <v>101</v>
      </c>
      <c r="BS797" t="s">
        <v>12507</v>
      </c>
      <c r="BT797" t="str">
        <f>HYPERLINK("https%3A%2F%2Fwww.webofscience.com%2Fwos%2Fwoscc%2Ffull-record%2FWOS:000244689300008","View Full Record in Web of Science")</f>
        <v>View Full Record in Web of Science</v>
      </c>
    </row>
    <row r="798" spans="1:72" x14ac:dyDescent="0.15">
      <c r="A798" t="s">
        <v>72</v>
      </c>
      <c r="B798" t="s">
        <v>12508</v>
      </c>
      <c r="C798" t="s">
        <v>74</v>
      </c>
      <c r="D798" t="s">
        <v>74</v>
      </c>
      <c r="E798" t="s">
        <v>74</v>
      </c>
      <c r="F798" t="s">
        <v>12509</v>
      </c>
      <c r="G798" t="s">
        <v>74</v>
      </c>
      <c r="H798" t="s">
        <v>74</v>
      </c>
      <c r="I798" t="s">
        <v>12510</v>
      </c>
      <c r="J798" t="s">
        <v>558</v>
      </c>
      <c r="K798" t="s">
        <v>74</v>
      </c>
      <c r="L798" t="s">
        <v>74</v>
      </c>
      <c r="M798" t="s">
        <v>78</v>
      </c>
      <c r="N798" t="s">
        <v>79</v>
      </c>
      <c r="O798" t="s">
        <v>74</v>
      </c>
      <c r="P798" t="s">
        <v>74</v>
      </c>
      <c r="Q798" t="s">
        <v>74</v>
      </c>
      <c r="R798" t="s">
        <v>74</v>
      </c>
      <c r="S798" t="s">
        <v>74</v>
      </c>
      <c r="T798" t="s">
        <v>74</v>
      </c>
      <c r="U798" t="s">
        <v>12511</v>
      </c>
      <c r="V798" t="s">
        <v>12512</v>
      </c>
      <c r="W798" t="s">
        <v>12513</v>
      </c>
      <c r="X798" t="s">
        <v>12514</v>
      </c>
      <c r="Y798" t="s">
        <v>12515</v>
      </c>
      <c r="Z798" t="s">
        <v>12516</v>
      </c>
      <c r="AA798" t="s">
        <v>74</v>
      </c>
      <c r="AB798" t="s">
        <v>12517</v>
      </c>
      <c r="AC798" t="s">
        <v>74</v>
      </c>
      <c r="AD798" t="s">
        <v>74</v>
      </c>
      <c r="AE798" t="s">
        <v>74</v>
      </c>
      <c r="AF798" t="s">
        <v>74</v>
      </c>
      <c r="AG798">
        <v>45</v>
      </c>
      <c r="AH798">
        <v>109</v>
      </c>
      <c r="AI798">
        <v>125</v>
      </c>
      <c r="AJ798">
        <v>0</v>
      </c>
      <c r="AK798">
        <v>27</v>
      </c>
      <c r="AL798" t="s">
        <v>567</v>
      </c>
      <c r="AM798" t="s">
        <v>568</v>
      </c>
      <c r="AN798" t="s">
        <v>569</v>
      </c>
      <c r="AO798" t="s">
        <v>570</v>
      </c>
      <c r="AP798" t="s">
        <v>571</v>
      </c>
      <c r="AQ798" t="s">
        <v>74</v>
      </c>
      <c r="AR798" t="s">
        <v>572</v>
      </c>
      <c r="AS798" t="s">
        <v>573</v>
      </c>
      <c r="AT798" t="s">
        <v>12385</v>
      </c>
      <c r="AU798">
        <v>2007</v>
      </c>
      <c r="AV798">
        <v>20</v>
      </c>
      <c r="AW798">
        <v>3</v>
      </c>
      <c r="AX798" t="s">
        <v>74</v>
      </c>
      <c r="AY798" t="s">
        <v>74</v>
      </c>
      <c r="AZ798" t="s">
        <v>74</v>
      </c>
      <c r="BA798" t="s">
        <v>74</v>
      </c>
      <c r="BB798">
        <v>436</v>
      </c>
      <c r="BC798">
        <v>448</v>
      </c>
      <c r="BD798" t="s">
        <v>74</v>
      </c>
      <c r="BE798" t="s">
        <v>12518</v>
      </c>
      <c r="BF798" t="str">
        <f>HYPERLINK("http://dx.doi.org/10.1175/JCLI4015.1","http://dx.doi.org/10.1175/JCLI4015.1")</f>
        <v>http://dx.doi.org/10.1175/JCLI4015.1</v>
      </c>
      <c r="BG798" t="s">
        <v>74</v>
      </c>
      <c r="BH798" t="s">
        <v>74</v>
      </c>
      <c r="BI798">
        <v>13</v>
      </c>
      <c r="BJ798" t="s">
        <v>435</v>
      </c>
      <c r="BK798" t="s">
        <v>98</v>
      </c>
      <c r="BL798" t="s">
        <v>435</v>
      </c>
      <c r="BM798" t="s">
        <v>12519</v>
      </c>
      <c r="BN798" t="s">
        <v>74</v>
      </c>
      <c r="BO798" t="s">
        <v>154</v>
      </c>
      <c r="BP798" t="s">
        <v>74</v>
      </c>
      <c r="BQ798" t="s">
        <v>74</v>
      </c>
      <c r="BR798" t="s">
        <v>101</v>
      </c>
      <c r="BS798" t="s">
        <v>12520</v>
      </c>
      <c r="BT798" t="str">
        <f>HYPERLINK("https%3A%2F%2Fwww.webofscience.com%2Fwos%2Fwoscc%2Ffull-record%2FWOS:000244093000004","View Full Record in Web of Science")</f>
        <v>View Full Record in Web of Science</v>
      </c>
    </row>
    <row r="799" spans="1:72" x14ac:dyDescent="0.15">
      <c r="A799" t="s">
        <v>72</v>
      </c>
      <c r="B799" t="s">
        <v>12521</v>
      </c>
      <c r="C799" t="s">
        <v>74</v>
      </c>
      <c r="D799" t="s">
        <v>74</v>
      </c>
      <c r="E799" t="s">
        <v>74</v>
      </c>
      <c r="F799" t="s">
        <v>12522</v>
      </c>
      <c r="G799" t="s">
        <v>74</v>
      </c>
      <c r="H799" t="s">
        <v>74</v>
      </c>
      <c r="I799" t="s">
        <v>12523</v>
      </c>
      <c r="J799" t="s">
        <v>558</v>
      </c>
      <c r="K799" t="s">
        <v>74</v>
      </c>
      <c r="L799" t="s">
        <v>74</v>
      </c>
      <c r="M799" t="s">
        <v>78</v>
      </c>
      <c r="N799" t="s">
        <v>79</v>
      </c>
      <c r="O799" t="s">
        <v>74</v>
      </c>
      <c r="P799" t="s">
        <v>74</v>
      </c>
      <c r="Q799" t="s">
        <v>74</v>
      </c>
      <c r="R799" t="s">
        <v>74</v>
      </c>
      <c r="S799" t="s">
        <v>74</v>
      </c>
      <c r="T799" t="s">
        <v>74</v>
      </c>
      <c r="U799" t="s">
        <v>12524</v>
      </c>
      <c r="V799" t="s">
        <v>12525</v>
      </c>
      <c r="W799" t="s">
        <v>12526</v>
      </c>
      <c r="X799" t="s">
        <v>12527</v>
      </c>
      <c r="Y799" t="s">
        <v>12528</v>
      </c>
      <c r="Z799" t="s">
        <v>12529</v>
      </c>
      <c r="AA799" t="s">
        <v>74</v>
      </c>
      <c r="AB799" t="s">
        <v>74</v>
      </c>
      <c r="AC799" t="s">
        <v>74</v>
      </c>
      <c r="AD799" t="s">
        <v>74</v>
      </c>
      <c r="AE799" t="s">
        <v>74</v>
      </c>
      <c r="AF799" t="s">
        <v>74</v>
      </c>
      <c r="AG799">
        <v>41</v>
      </c>
      <c r="AH799">
        <v>41</v>
      </c>
      <c r="AI799">
        <v>47</v>
      </c>
      <c r="AJ799">
        <v>0</v>
      </c>
      <c r="AK799">
        <v>17</v>
      </c>
      <c r="AL799" t="s">
        <v>567</v>
      </c>
      <c r="AM799" t="s">
        <v>568</v>
      </c>
      <c r="AN799" t="s">
        <v>569</v>
      </c>
      <c r="AO799" t="s">
        <v>570</v>
      </c>
      <c r="AP799" t="s">
        <v>571</v>
      </c>
      <c r="AQ799" t="s">
        <v>74</v>
      </c>
      <c r="AR799" t="s">
        <v>572</v>
      </c>
      <c r="AS799" t="s">
        <v>573</v>
      </c>
      <c r="AT799" t="s">
        <v>12385</v>
      </c>
      <c r="AU799">
        <v>2007</v>
      </c>
      <c r="AV799">
        <v>20</v>
      </c>
      <c r="AW799">
        <v>3</v>
      </c>
      <c r="AX799" t="s">
        <v>74</v>
      </c>
      <c r="AY799" t="s">
        <v>74</v>
      </c>
      <c r="AZ799" t="s">
        <v>74</v>
      </c>
      <c r="BA799" t="s">
        <v>74</v>
      </c>
      <c r="BB799">
        <v>544</v>
      </c>
      <c r="BC799">
        <v>559</v>
      </c>
      <c r="BD799" t="s">
        <v>74</v>
      </c>
      <c r="BE799" t="s">
        <v>12530</v>
      </c>
      <c r="BF799" t="str">
        <f>HYPERLINK("http://dx.doi.org/10.1175/JCLI4005.1","http://dx.doi.org/10.1175/JCLI4005.1")</f>
        <v>http://dx.doi.org/10.1175/JCLI4005.1</v>
      </c>
      <c r="BG799" t="s">
        <v>74</v>
      </c>
      <c r="BH799" t="s">
        <v>74</v>
      </c>
      <c r="BI799">
        <v>16</v>
      </c>
      <c r="BJ799" t="s">
        <v>435</v>
      </c>
      <c r="BK799" t="s">
        <v>98</v>
      </c>
      <c r="BL799" t="s">
        <v>435</v>
      </c>
      <c r="BM799" t="s">
        <v>12519</v>
      </c>
      <c r="BN799" t="s">
        <v>74</v>
      </c>
      <c r="BO799" t="s">
        <v>1289</v>
      </c>
      <c r="BP799" t="s">
        <v>74</v>
      </c>
      <c r="BQ799" t="s">
        <v>74</v>
      </c>
      <c r="BR799" t="s">
        <v>101</v>
      </c>
      <c r="BS799" t="s">
        <v>12531</v>
      </c>
      <c r="BT799" t="str">
        <f>HYPERLINK("https%3A%2F%2Fwww.webofscience.com%2Fwos%2Fwoscc%2Ffull-record%2FWOS:000244093000011","View Full Record in Web of Science")</f>
        <v>View Full Record in Web of Science</v>
      </c>
    </row>
    <row r="800" spans="1:72" x14ac:dyDescent="0.15">
      <c r="A800" t="s">
        <v>72</v>
      </c>
      <c r="B800" t="s">
        <v>12532</v>
      </c>
      <c r="C800" t="s">
        <v>74</v>
      </c>
      <c r="D800" t="s">
        <v>74</v>
      </c>
      <c r="E800" t="s">
        <v>74</v>
      </c>
      <c r="F800" t="s">
        <v>12533</v>
      </c>
      <c r="G800" t="s">
        <v>74</v>
      </c>
      <c r="H800" t="s">
        <v>74</v>
      </c>
      <c r="I800" t="s">
        <v>12534</v>
      </c>
      <c r="J800" t="s">
        <v>558</v>
      </c>
      <c r="K800" t="s">
        <v>74</v>
      </c>
      <c r="L800" t="s">
        <v>74</v>
      </c>
      <c r="M800" t="s">
        <v>78</v>
      </c>
      <c r="N800" t="s">
        <v>79</v>
      </c>
      <c r="O800" t="s">
        <v>74</v>
      </c>
      <c r="P800" t="s">
        <v>74</v>
      </c>
      <c r="Q800" t="s">
        <v>74</v>
      </c>
      <c r="R800" t="s">
        <v>74</v>
      </c>
      <c r="S800" t="s">
        <v>74</v>
      </c>
      <c r="T800" t="s">
        <v>74</v>
      </c>
      <c r="U800" t="s">
        <v>12535</v>
      </c>
      <c r="V800" t="s">
        <v>12536</v>
      </c>
      <c r="W800" t="s">
        <v>12537</v>
      </c>
      <c r="X800" t="s">
        <v>6813</v>
      </c>
      <c r="Y800" t="s">
        <v>12538</v>
      </c>
      <c r="Z800" t="s">
        <v>12539</v>
      </c>
      <c r="AA800" t="s">
        <v>12540</v>
      </c>
      <c r="AB800" t="s">
        <v>12541</v>
      </c>
      <c r="AC800" t="s">
        <v>74</v>
      </c>
      <c r="AD800" t="s">
        <v>74</v>
      </c>
      <c r="AE800" t="s">
        <v>74</v>
      </c>
      <c r="AF800" t="s">
        <v>74</v>
      </c>
      <c r="AG800">
        <v>57</v>
      </c>
      <c r="AH800">
        <v>41</v>
      </c>
      <c r="AI800">
        <v>45</v>
      </c>
      <c r="AJ800">
        <v>0</v>
      </c>
      <c r="AK800">
        <v>12</v>
      </c>
      <c r="AL800" t="s">
        <v>567</v>
      </c>
      <c r="AM800" t="s">
        <v>568</v>
      </c>
      <c r="AN800" t="s">
        <v>569</v>
      </c>
      <c r="AO800" t="s">
        <v>570</v>
      </c>
      <c r="AP800" t="s">
        <v>571</v>
      </c>
      <c r="AQ800" t="s">
        <v>74</v>
      </c>
      <c r="AR800" t="s">
        <v>572</v>
      </c>
      <c r="AS800" t="s">
        <v>573</v>
      </c>
      <c r="AT800" t="s">
        <v>11681</v>
      </c>
      <c r="AU800">
        <v>2007</v>
      </c>
      <c r="AV800">
        <v>20</v>
      </c>
      <c r="AW800">
        <v>4</v>
      </c>
      <c r="AX800" t="s">
        <v>74</v>
      </c>
      <c r="AY800" t="s">
        <v>74</v>
      </c>
      <c r="AZ800" t="s">
        <v>74</v>
      </c>
      <c r="BA800" t="s">
        <v>74</v>
      </c>
      <c r="BB800">
        <v>739</v>
      </c>
      <c r="BC800">
        <v>756</v>
      </c>
      <c r="BD800" t="s">
        <v>74</v>
      </c>
      <c r="BE800" t="s">
        <v>12542</v>
      </c>
      <c r="BF800" t="str">
        <f>HYPERLINK("http://dx.doi.org/10.1175/JCLI4027.1","http://dx.doi.org/10.1175/JCLI4027.1")</f>
        <v>http://dx.doi.org/10.1175/JCLI4027.1</v>
      </c>
      <c r="BG800" t="s">
        <v>74</v>
      </c>
      <c r="BH800" t="s">
        <v>74</v>
      </c>
      <c r="BI800">
        <v>18</v>
      </c>
      <c r="BJ800" t="s">
        <v>435</v>
      </c>
      <c r="BK800" t="s">
        <v>98</v>
      </c>
      <c r="BL800" t="s">
        <v>435</v>
      </c>
      <c r="BM800" t="s">
        <v>12543</v>
      </c>
      <c r="BN800" t="s">
        <v>74</v>
      </c>
      <c r="BO800" t="s">
        <v>577</v>
      </c>
      <c r="BP800" t="s">
        <v>74</v>
      </c>
      <c r="BQ800" t="s">
        <v>74</v>
      </c>
      <c r="BR800" t="s">
        <v>101</v>
      </c>
      <c r="BS800" t="s">
        <v>12544</v>
      </c>
      <c r="BT800" t="str">
        <f>HYPERLINK("https%3A%2F%2Fwww.webofscience.com%2Fwos%2Fwoscc%2Ffull-record%2FWOS:000244102100008","View Full Record in Web of Science")</f>
        <v>View Full Record in Web of Science</v>
      </c>
    </row>
    <row r="801" spans="1:72" x14ac:dyDescent="0.15">
      <c r="A801" t="s">
        <v>72</v>
      </c>
      <c r="B801" t="s">
        <v>12545</v>
      </c>
      <c r="C801" t="s">
        <v>74</v>
      </c>
      <c r="D801" t="s">
        <v>74</v>
      </c>
      <c r="E801" t="s">
        <v>74</v>
      </c>
      <c r="F801" t="s">
        <v>12546</v>
      </c>
      <c r="G801" t="s">
        <v>74</v>
      </c>
      <c r="H801" t="s">
        <v>74</v>
      </c>
      <c r="I801" t="s">
        <v>12547</v>
      </c>
      <c r="J801" t="s">
        <v>12548</v>
      </c>
      <c r="K801" t="s">
        <v>74</v>
      </c>
      <c r="L801" t="s">
        <v>74</v>
      </c>
      <c r="M801" t="s">
        <v>78</v>
      </c>
      <c r="N801" t="s">
        <v>79</v>
      </c>
      <c r="O801" t="s">
        <v>74</v>
      </c>
      <c r="P801" t="s">
        <v>74</v>
      </c>
      <c r="Q801" t="s">
        <v>74</v>
      </c>
      <c r="R801" t="s">
        <v>74</v>
      </c>
      <c r="S801" t="s">
        <v>74</v>
      </c>
      <c r="T801" t="s">
        <v>12549</v>
      </c>
      <c r="U801" t="s">
        <v>12550</v>
      </c>
      <c r="V801" t="s">
        <v>12551</v>
      </c>
      <c r="W801" t="s">
        <v>12552</v>
      </c>
      <c r="X801" t="s">
        <v>12553</v>
      </c>
      <c r="Y801" t="s">
        <v>12554</v>
      </c>
      <c r="Z801" t="s">
        <v>12555</v>
      </c>
      <c r="AA801" t="s">
        <v>12556</v>
      </c>
      <c r="AB801" t="s">
        <v>3786</v>
      </c>
      <c r="AC801" t="s">
        <v>74</v>
      </c>
      <c r="AD801" t="s">
        <v>74</v>
      </c>
      <c r="AE801" t="s">
        <v>74</v>
      </c>
      <c r="AF801" t="s">
        <v>74</v>
      </c>
      <c r="AG801">
        <v>43</v>
      </c>
      <c r="AH801">
        <v>48</v>
      </c>
      <c r="AI801">
        <v>52</v>
      </c>
      <c r="AJ801">
        <v>0</v>
      </c>
      <c r="AK801">
        <v>7</v>
      </c>
      <c r="AL801" t="s">
        <v>2170</v>
      </c>
      <c r="AM801" t="s">
        <v>2171</v>
      </c>
      <c r="AN801" t="s">
        <v>2172</v>
      </c>
      <c r="AO801" t="s">
        <v>12557</v>
      </c>
      <c r="AP801" t="s">
        <v>12558</v>
      </c>
      <c r="AQ801" t="s">
        <v>74</v>
      </c>
      <c r="AR801" t="s">
        <v>12559</v>
      </c>
      <c r="AS801" t="s">
        <v>12560</v>
      </c>
      <c r="AT801" t="s">
        <v>11681</v>
      </c>
      <c r="AU801">
        <v>2007</v>
      </c>
      <c r="AV801">
        <v>177</v>
      </c>
      <c r="AW801">
        <v>2</v>
      </c>
      <c r="AX801" t="s">
        <v>74</v>
      </c>
      <c r="AY801" t="s">
        <v>74</v>
      </c>
      <c r="AZ801" t="s">
        <v>74</v>
      </c>
      <c r="BA801" t="s">
        <v>74</v>
      </c>
      <c r="BB801">
        <v>205</v>
      </c>
      <c r="BC801">
        <v>215</v>
      </c>
      <c r="BD801" t="s">
        <v>74</v>
      </c>
      <c r="BE801" t="s">
        <v>12561</v>
      </c>
      <c r="BF801" t="str">
        <f>HYPERLINK("http://dx.doi.org/10.1007/s00360-006-0122-7","http://dx.doi.org/10.1007/s00360-006-0122-7")</f>
        <v>http://dx.doi.org/10.1007/s00360-006-0122-7</v>
      </c>
      <c r="BG801" t="s">
        <v>74</v>
      </c>
      <c r="BH801" t="s">
        <v>74</v>
      </c>
      <c r="BI801">
        <v>11</v>
      </c>
      <c r="BJ801" t="s">
        <v>4145</v>
      </c>
      <c r="BK801" t="s">
        <v>98</v>
      </c>
      <c r="BL801" t="s">
        <v>4145</v>
      </c>
      <c r="BM801" t="s">
        <v>12562</v>
      </c>
      <c r="BN801">
        <v>17115223</v>
      </c>
      <c r="BO801" t="s">
        <v>74</v>
      </c>
      <c r="BP801" t="s">
        <v>74</v>
      </c>
      <c r="BQ801" t="s">
        <v>74</v>
      </c>
      <c r="BR801" t="s">
        <v>101</v>
      </c>
      <c r="BS801" t="s">
        <v>12563</v>
      </c>
      <c r="BT801" t="str">
        <f>HYPERLINK("https%3A%2F%2Fwww.webofscience.com%2Fwos%2Fwoscc%2Ffull-record%2FWOS:000243906300006","View Full Record in Web of Science")</f>
        <v>View Full Record in Web of Science</v>
      </c>
    </row>
    <row r="802" spans="1:72" x14ac:dyDescent="0.15">
      <c r="A802" t="s">
        <v>72</v>
      </c>
      <c r="B802" t="s">
        <v>12564</v>
      </c>
      <c r="C802" t="s">
        <v>74</v>
      </c>
      <c r="D802" t="s">
        <v>74</v>
      </c>
      <c r="E802" t="s">
        <v>74</v>
      </c>
      <c r="F802" t="s">
        <v>12565</v>
      </c>
      <c r="G802" t="s">
        <v>74</v>
      </c>
      <c r="H802" t="s">
        <v>74</v>
      </c>
      <c r="I802" t="s">
        <v>12566</v>
      </c>
      <c r="J802" t="s">
        <v>3777</v>
      </c>
      <c r="K802" t="s">
        <v>74</v>
      </c>
      <c r="L802" t="s">
        <v>74</v>
      </c>
      <c r="M802" t="s">
        <v>78</v>
      </c>
      <c r="N802" t="s">
        <v>79</v>
      </c>
      <c r="O802" t="s">
        <v>74</v>
      </c>
      <c r="P802" t="s">
        <v>74</v>
      </c>
      <c r="Q802" t="s">
        <v>74</v>
      </c>
      <c r="R802" t="s">
        <v>74</v>
      </c>
      <c r="S802" t="s">
        <v>74</v>
      </c>
      <c r="T802" t="s">
        <v>12567</v>
      </c>
      <c r="U802" t="s">
        <v>12568</v>
      </c>
      <c r="V802" t="s">
        <v>12569</v>
      </c>
      <c r="W802" t="s">
        <v>12570</v>
      </c>
      <c r="X802" t="s">
        <v>12571</v>
      </c>
      <c r="Y802" t="s">
        <v>12572</v>
      </c>
      <c r="Z802" t="s">
        <v>2496</v>
      </c>
      <c r="AA802" t="s">
        <v>12573</v>
      </c>
      <c r="AB802" t="s">
        <v>74</v>
      </c>
      <c r="AC802" t="s">
        <v>4175</v>
      </c>
      <c r="AD802" t="s">
        <v>140</v>
      </c>
      <c r="AE802" t="s">
        <v>74</v>
      </c>
      <c r="AF802" t="s">
        <v>74</v>
      </c>
      <c r="AG802">
        <v>80</v>
      </c>
      <c r="AH802">
        <v>72</v>
      </c>
      <c r="AI802">
        <v>78</v>
      </c>
      <c r="AJ802">
        <v>5</v>
      </c>
      <c r="AK802">
        <v>53</v>
      </c>
      <c r="AL802" t="s">
        <v>1503</v>
      </c>
      <c r="AM802" t="s">
        <v>1504</v>
      </c>
      <c r="AN802" t="s">
        <v>1505</v>
      </c>
      <c r="AO802" t="s">
        <v>3787</v>
      </c>
      <c r="AP802" t="s">
        <v>74</v>
      </c>
      <c r="AQ802" t="s">
        <v>74</v>
      </c>
      <c r="AR802" t="s">
        <v>3789</v>
      </c>
      <c r="AS802" t="s">
        <v>3790</v>
      </c>
      <c r="AT802" t="s">
        <v>11681</v>
      </c>
      <c r="AU802">
        <v>2007</v>
      </c>
      <c r="AV802">
        <v>53</v>
      </c>
      <c r="AW802">
        <v>2</v>
      </c>
      <c r="AX802" t="s">
        <v>74</v>
      </c>
      <c r="AY802" t="s">
        <v>74</v>
      </c>
      <c r="AZ802" t="s">
        <v>74</v>
      </c>
      <c r="BA802" t="s">
        <v>74</v>
      </c>
      <c r="BB802">
        <v>113</v>
      </c>
      <c r="BC802">
        <v>125</v>
      </c>
      <c r="BD802" t="s">
        <v>74</v>
      </c>
      <c r="BE802" t="s">
        <v>12574</v>
      </c>
      <c r="BF802" t="str">
        <f>HYPERLINK("http://dx.doi.org/10.1016/j.jinsphys.2006.10.010","http://dx.doi.org/10.1016/j.jinsphys.2006.10.010")</f>
        <v>http://dx.doi.org/10.1016/j.jinsphys.2006.10.010</v>
      </c>
      <c r="BG802" t="s">
        <v>74</v>
      </c>
      <c r="BH802" t="s">
        <v>74</v>
      </c>
      <c r="BI802">
        <v>13</v>
      </c>
      <c r="BJ802" t="s">
        <v>3792</v>
      </c>
      <c r="BK802" t="s">
        <v>98</v>
      </c>
      <c r="BL802" t="s">
        <v>3792</v>
      </c>
      <c r="BM802" t="s">
        <v>12575</v>
      </c>
      <c r="BN802">
        <v>17222862</v>
      </c>
      <c r="BO802" t="s">
        <v>74</v>
      </c>
      <c r="BP802" t="s">
        <v>74</v>
      </c>
      <c r="BQ802" t="s">
        <v>74</v>
      </c>
      <c r="BR802" t="s">
        <v>101</v>
      </c>
      <c r="BS802" t="s">
        <v>12576</v>
      </c>
      <c r="BT802" t="str">
        <f>HYPERLINK("https%3A%2F%2Fwww.webofscience.com%2Fwos%2Fwoscc%2Ffull-record%2FWOS:000244817200001","View Full Record in Web of Science")</f>
        <v>View Full Record in Web of Science</v>
      </c>
    </row>
    <row r="803" spans="1:72" x14ac:dyDescent="0.15">
      <c r="A803" t="s">
        <v>72</v>
      </c>
      <c r="B803" t="s">
        <v>12577</v>
      </c>
      <c r="C803" t="s">
        <v>74</v>
      </c>
      <c r="D803" t="s">
        <v>74</v>
      </c>
      <c r="E803" t="s">
        <v>74</v>
      </c>
      <c r="F803" t="s">
        <v>12578</v>
      </c>
      <c r="G803" t="s">
        <v>74</v>
      </c>
      <c r="H803" t="s">
        <v>74</v>
      </c>
      <c r="I803" t="s">
        <v>12579</v>
      </c>
      <c r="J803" t="s">
        <v>2042</v>
      </c>
      <c r="K803" t="s">
        <v>74</v>
      </c>
      <c r="L803" t="s">
        <v>74</v>
      </c>
      <c r="M803" t="s">
        <v>78</v>
      </c>
      <c r="N803" t="s">
        <v>79</v>
      </c>
      <c r="O803" t="s">
        <v>74</v>
      </c>
      <c r="P803" t="s">
        <v>74</v>
      </c>
      <c r="Q803" t="s">
        <v>74</v>
      </c>
      <c r="R803" t="s">
        <v>74</v>
      </c>
      <c r="S803" t="s">
        <v>74</v>
      </c>
      <c r="T803" t="s">
        <v>12580</v>
      </c>
      <c r="U803" t="s">
        <v>12581</v>
      </c>
      <c r="V803" t="s">
        <v>12582</v>
      </c>
      <c r="W803" t="s">
        <v>12583</v>
      </c>
      <c r="X803" t="s">
        <v>12584</v>
      </c>
      <c r="Y803" t="s">
        <v>12585</v>
      </c>
      <c r="Z803" t="s">
        <v>12586</v>
      </c>
      <c r="AA803" t="s">
        <v>12587</v>
      </c>
      <c r="AB803" t="s">
        <v>12588</v>
      </c>
      <c r="AC803" t="s">
        <v>74</v>
      </c>
      <c r="AD803" t="s">
        <v>74</v>
      </c>
      <c r="AE803" t="s">
        <v>74</v>
      </c>
      <c r="AF803" t="s">
        <v>74</v>
      </c>
      <c r="AG803">
        <v>50</v>
      </c>
      <c r="AH803">
        <v>44</v>
      </c>
      <c r="AI803">
        <v>49</v>
      </c>
      <c r="AJ803">
        <v>3</v>
      </c>
      <c r="AK803">
        <v>23</v>
      </c>
      <c r="AL803" t="s">
        <v>12589</v>
      </c>
      <c r="AM803" t="s">
        <v>7393</v>
      </c>
      <c r="AN803" t="s">
        <v>12590</v>
      </c>
      <c r="AO803" t="s">
        <v>2054</v>
      </c>
      <c r="AP803" t="s">
        <v>74</v>
      </c>
      <c r="AQ803" t="s">
        <v>74</v>
      </c>
      <c r="AR803" t="s">
        <v>2056</v>
      </c>
      <c r="AS803" t="s">
        <v>2057</v>
      </c>
      <c r="AT803" t="s">
        <v>11681</v>
      </c>
      <c r="AU803">
        <v>2007</v>
      </c>
      <c r="AV803">
        <v>63</v>
      </c>
      <c r="AW803">
        <v>1</v>
      </c>
      <c r="AX803" t="s">
        <v>74</v>
      </c>
      <c r="AY803" t="s">
        <v>74</v>
      </c>
      <c r="AZ803" t="s">
        <v>74</v>
      </c>
      <c r="BA803" t="s">
        <v>74</v>
      </c>
      <c r="BB803">
        <v>113</v>
      </c>
      <c r="BC803">
        <v>123</v>
      </c>
      <c r="BD803" t="s">
        <v>74</v>
      </c>
      <c r="BE803" t="s">
        <v>12591</v>
      </c>
      <c r="BF803" t="str">
        <f>HYPERLINK("http://dx.doi.org/10.1007/s10872-007-0009-6","http://dx.doi.org/10.1007/s10872-007-0009-6")</f>
        <v>http://dx.doi.org/10.1007/s10872-007-0009-6</v>
      </c>
      <c r="BG803" t="s">
        <v>74</v>
      </c>
      <c r="BH803" t="s">
        <v>74</v>
      </c>
      <c r="BI803">
        <v>11</v>
      </c>
      <c r="BJ803" t="s">
        <v>221</v>
      </c>
      <c r="BK803" t="s">
        <v>98</v>
      </c>
      <c r="BL803" t="s">
        <v>221</v>
      </c>
      <c r="BM803" t="s">
        <v>12592</v>
      </c>
      <c r="BN803" t="s">
        <v>74</v>
      </c>
      <c r="BO803" t="s">
        <v>74</v>
      </c>
      <c r="BP803" t="s">
        <v>74</v>
      </c>
      <c r="BQ803" t="s">
        <v>74</v>
      </c>
      <c r="BR803" t="s">
        <v>101</v>
      </c>
      <c r="BS803" t="s">
        <v>12593</v>
      </c>
      <c r="BT803" t="str">
        <f>HYPERLINK("https%3A%2F%2Fwww.webofscience.com%2Fwos%2Fwoscc%2Ffull-record%2FWOS:000243059400009","View Full Record in Web of Science")</f>
        <v>View Full Record in Web of Science</v>
      </c>
    </row>
    <row r="804" spans="1:72" x14ac:dyDescent="0.15">
      <c r="A804" t="s">
        <v>72</v>
      </c>
      <c r="B804" t="s">
        <v>12594</v>
      </c>
      <c r="C804" t="s">
        <v>74</v>
      </c>
      <c r="D804" t="s">
        <v>74</v>
      </c>
      <c r="E804" t="s">
        <v>74</v>
      </c>
      <c r="F804" t="s">
        <v>12595</v>
      </c>
      <c r="G804" t="s">
        <v>74</v>
      </c>
      <c r="H804" t="s">
        <v>74</v>
      </c>
      <c r="I804" t="s">
        <v>12596</v>
      </c>
      <c r="J804" t="s">
        <v>12597</v>
      </c>
      <c r="K804" t="s">
        <v>74</v>
      </c>
      <c r="L804" t="s">
        <v>74</v>
      </c>
      <c r="M804" t="s">
        <v>78</v>
      </c>
      <c r="N804" t="s">
        <v>79</v>
      </c>
      <c r="O804" t="s">
        <v>74</v>
      </c>
      <c r="P804" t="s">
        <v>74</v>
      </c>
      <c r="Q804" t="s">
        <v>74</v>
      </c>
      <c r="R804" t="s">
        <v>74</v>
      </c>
      <c r="S804" t="s">
        <v>74</v>
      </c>
      <c r="T804" t="s">
        <v>12598</v>
      </c>
      <c r="U804" t="s">
        <v>12599</v>
      </c>
      <c r="V804" t="s">
        <v>12600</v>
      </c>
      <c r="W804" t="s">
        <v>12601</v>
      </c>
      <c r="X804" t="s">
        <v>12602</v>
      </c>
      <c r="Y804" t="s">
        <v>12603</v>
      </c>
      <c r="Z804" t="s">
        <v>12604</v>
      </c>
      <c r="AA804" t="s">
        <v>12605</v>
      </c>
      <c r="AB804" t="s">
        <v>12606</v>
      </c>
      <c r="AC804" t="s">
        <v>74</v>
      </c>
      <c r="AD804" t="s">
        <v>74</v>
      </c>
      <c r="AE804" t="s">
        <v>74</v>
      </c>
      <c r="AF804" t="s">
        <v>74</v>
      </c>
      <c r="AG804">
        <v>38</v>
      </c>
      <c r="AH804">
        <v>24</v>
      </c>
      <c r="AI804">
        <v>25</v>
      </c>
      <c r="AJ804">
        <v>3</v>
      </c>
      <c r="AK804">
        <v>20</v>
      </c>
      <c r="AL804" t="s">
        <v>3589</v>
      </c>
      <c r="AM804" t="s">
        <v>1504</v>
      </c>
      <c r="AN804" t="s">
        <v>3590</v>
      </c>
      <c r="AO804" t="s">
        <v>12607</v>
      </c>
      <c r="AP804" t="s">
        <v>74</v>
      </c>
      <c r="AQ804" t="s">
        <v>74</v>
      </c>
      <c r="AR804" t="s">
        <v>12608</v>
      </c>
      <c r="AS804" t="s">
        <v>12609</v>
      </c>
      <c r="AT804" t="s">
        <v>11681</v>
      </c>
      <c r="AU804">
        <v>2007</v>
      </c>
      <c r="AV804">
        <v>43</v>
      </c>
      <c r="AW804">
        <v>1</v>
      </c>
      <c r="AX804" t="s">
        <v>74</v>
      </c>
      <c r="AY804" t="s">
        <v>74</v>
      </c>
      <c r="AZ804" t="s">
        <v>74</v>
      </c>
      <c r="BA804" t="s">
        <v>74</v>
      </c>
      <c r="BB804">
        <v>55</v>
      </c>
      <c r="BC804">
        <v>64</v>
      </c>
      <c r="BD804" t="s">
        <v>74</v>
      </c>
      <c r="BE804" t="s">
        <v>12610</v>
      </c>
      <c r="BF804" t="str">
        <f>HYPERLINK("http://dx.doi.org/10.1111/j.1529-8817.2006.00301.x","http://dx.doi.org/10.1111/j.1529-8817.2006.00301.x")</f>
        <v>http://dx.doi.org/10.1111/j.1529-8817.2006.00301.x</v>
      </c>
      <c r="BG804" t="s">
        <v>74</v>
      </c>
      <c r="BH804" t="s">
        <v>74</v>
      </c>
      <c r="BI804">
        <v>10</v>
      </c>
      <c r="BJ804" t="s">
        <v>4126</v>
      </c>
      <c r="BK804" t="s">
        <v>98</v>
      </c>
      <c r="BL804" t="s">
        <v>4126</v>
      </c>
      <c r="BM804" t="s">
        <v>12611</v>
      </c>
      <c r="BN804" t="s">
        <v>74</v>
      </c>
      <c r="BO804" t="s">
        <v>74</v>
      </c>
      <c r="BP804" t="s">
        <v>74</v>
      </c>
      <c r="BQ804" t="s">
        <v>74</v>
      </c>
      <c r="BR804" t="s">
        <v>101</v>
      </c>
      <c r="BS804" t="s">
        <v>12612</v>
      </c>
      <c r="BT804" t="str">
        <f>HYPERLINK("https%3A%2F%2Fwww.webofscience.com%2Fwos%2Fwoscc%2Ffull-record%2FWOS:000244004300006","View Full Record in Web of Science")</f>
        <v>View Full Record in Web of Science</v>
      </c>
    </row>
    <row r="805" spans="1:72" x14ac:dyDescent="0.15">
      <c r="A805" t="s">
        <v>72</v>
      </c>
      <c r="B805" t="s">
        <v>12613</v>
      </c>
      <c r="C805" t="s">
        <v>74</v>
      </c>
      <c r="D805" t="s">
        <v>74</v>
      </c>
      <c r="E805" t="s">
        <v>74</v>
      </c>
      <c r="F805" t="s">
        <v>12614</v>
      </c>
      <c r="G805" t="s">
        <v>74</v>
      </c>
      <c r="H805" t="s">
        <v>74</v>
      </c>
      <c r="I805" t="s">
        <v>12615</v>
      </c>
      <c r="J805" t="s">
        <v>2064</v>
      </c>
      <c r="K805" t="s">
        <v>74</v>
      </c>
      <c r="L805" t="s">
        <v>74</v>
      </c>
      <c r="M805" t="s">
        <v>78</v>
      </c>
      <c r="N805" t="s">
        <v>79</v>
      </c>
      <c r="O805" t="s">
        <v>74</v>
      </c>
      <c r="P805" t="s">
        <v>74</v>
      </c>
      <c r="Q805" t="s">
        <v>74</v>
      </c>
      <c r="R805" t="s">
        <v>74</v>
      </c>
      <c r="S805" t="s">
        <v>74</v>
      </c>
      <c r="T805" t="s">
        <v>74</v>
      </c>
      <c r="U805" t="s">
        <v>12616</v>
      </c>
      <c r="V805" t="s">
        <v>12617</v>
      </c>
      <c r="W805" t="s">
        <v>9155</v>
      </c>
      <c r="X805" t="s">
        <v>3744</v>
      </c>
      <c r="Y805" t="s">
        <v>12618</v>
      </c>
      <c r="Z805" t="s">
        <v>12619</v>
      </c>
      <c r="AA805" t="s">
        <v>12620</v>
      </c>
      <c r="AB805" t="s">
        <v>12621</v>
      </c>
      <c r="AC805" t="s">
        <v>74</v>
      </c>
      <c r="AD805" t="s">
        <v>74</v>
      </c>
      <c r="AE805" t="s">
        <v>74</v>
      </c>
      <c r="AF805" t="s">
        <v>74</v>
      </c>
      <c r="AG805">
        <v>22</v>
      </c>
      <c r="AH805">
        <v>20</v>
      </c>
      <c r="AI805">
        <v>20</v>
      </c>
      <c r="AJ805">
        <v>0</v>
      </c>
      <c r="AK805">
        <v>8</v>
      </c>
      <c r="AL805" t="s">
        <v>567</v>
      </c>
      <c r="AM805" t="s">
        <v>568</v>
      </c>
      <c r="AN805" t="s">
        <v>569</v>
      </c>
      <c r="AO805" t="s">
        <v>2071</v>
      </c>
      <c r="AP805" t="s">
        <v>2072</v>
      </c>
      <c r="AQ805" t="s">
        <v>74</v>
      </c>
      <c r="AR805" t="s">
        <v>2073</v>
      </c>
      <c r="AS805" t="s">
        <v>2074</v>
      </c>
      <c r="AT805" t="s">
        <v>11681</v>
      </c>
      <c r="AU805">
        <v>2007</v>
      </c>
      <c r="AV805">
        <v>37</v>
      </c>
      <c r="AW805">
        <v>2</v>
      </c>
      <c r="AX805" t="s">
        <v>74</v>
      </c>
      <c r="AY805" t="s">
        <v>74</v>
      </c>
      <c r="AZ805" t="s">
        <v>74</v>
      </c>
      <c r="BA805" t="s">
        <v>74</v>
      </c>
      <c r="BB805">
        <v>203</v>
      </c>
      <c r="BC805">
        <v>213</v>
      </c>
      <c r="BD805" t="s">
        <v>74</v>
      </c>
      <c r="BE805" t="s">
        <v>12622</v>
      </c>
      <c r="BF805" t="str">
        <f>HYPERLINK("http://dx.doi.org/10.1175/JPO3007.1","http://dx.doi.org/10.1175/JPO3007.1")</f>
        <v>http://dx.doi.org/10.1175/JPO3007.1</v>
      </c>
      <c r="BG805" t="s">
        <v>74</v>
      </c>
      <c r="BH805" t="s">
        <v>74</v>
      </c>
      <c r="BI805">
        <v>11</v>
      </c>
      <c r="BJ805" t="s">
        <v>221</v>
      </c>
      <c r="BK805" t="s">
        <v>98</v>
      </c>
      <c r="BL805" t="s">
        <v>221</v>
      </c>
      <c r="BM805" t="s">
        <v>12623</v>
      </c>
      <c r="BN805" t="s">
        <v>74</v>
      </c>
      <c r="BO805" t="s">
        <v>1289</v>
      </c>
      <c r="BP805" t="s">
        <v>74</v>
      </c>
      <c r="BQ805" t="s">
        <v>74</v>
      </c>
      <c r="BR805" t="s">
        <v>101</v>
      </c>
      <c r="BS805" t="s">
        <v>12624</v>
      </c>
      <c r="BT805" t="str">
        <f>HYPERLINK("https%3A%2F%2Fwww.webofscience.com%2Fwos%2Fwoscc%2Ffull-record%2FWOS:000244558000007","View Full Record in Web of Science")</f>
        <v>View Full Record in Web of Science</v>
      </c>
    </row>
    <row r="806" spans="1:72" x14ac:dyDescent="0.15">
      <c r="A806" t="s">
        <v>72</v>
      </c>
      <c r="B806" t="s">
        <v>12625</v>
      </c>
      <c r="C806" t="s">
        <v>74</v>
      </c>
      <c r="D806" t="s">
        <v>74</v>
      </c>
      <c r="E806" t="s">
        <v>74</v>
      </c>
      <c r="F806" t="s">
        <v>12626</v>
      </c>
      <c r="G806" t="s">
        <v>74</v>
      </c>
      <c r="H806" t="s">
        <v>74</v>
      </c>
      <c r="I806" t="s">
        <v>12627</v>
      </c>
      <c r="J806" t="s">
        <v>2064</v>
      </c>
      <c r="K806" t="s">
        <v>74</v>
      </c>
      <c r="L806" t="s">
        <v>74</v>
      </c>
      <c r="M806" t="s">
        <v>78</v>
      </c>
      <c r="N806" t="s">
        <v>79</v>
      </c>
      <c r="O806" t="s">
        <v>74</v>
      </c>
      <c r="P806" t="s">
        <v>74</v>
      </c>
      <c r="Q806" t="s">
        <v>74</v>
      </c>
      <c r="R806" t="s">
        <v>74</v>
      </c>
      <c r="S806" t="s">
        <v>74</v>
      </c>
      <c r="T806" t="s">
        <v>74</v>
      </c>
      <c r="U806" t="s">
        <v>12628</v>
      </c>
      <c r="V806" t="s">
        <v>12629</v>
      </c>
      <c r="W806" t="s">
        <v>12630</v>
      </c>
      <c r="X806" t="s">
        <v>12631</v>
      </c>
      <c r="Y806" t="s">
        <v>12632</v>
      </c>
      <c r="Z806" t="s">
        <v>12633</v>
      </c>
      <c r="AA806" t="s">
        <v>12634</v>
      </c>
      <c r="AB806" t="s">
        <v>12635</v>
      </c>
      <c r="AC806" t="s">
        <v>74</v>
      </c>
      <c r="AD806" t="s">
        <v>74</v>
      </c>
      <c r="AE806" t="s">
        <v>74</v>
      </c>
      <c r="AF806" t="s">
        <v>74</v>
      </c>
      <c r="AG806">
        <v>58</v>
      </c>
      <c r="AH806">
        <v>35</v>
      </c>
      <c r="AI806">
        <v>39</v>
      </c>
      <c r="AJ806">
        <v>1</v>
      </c>
      <c r="AK806">
        <v>13</v>
      </c>
      <c r="AL806" t="s">
        <v>567</v>
      </c>
      <c r="AM806" t="s">
        <v>568</v>
      </c>
      <c r="AN806" t="s">
        <v>569</v>
      </c>
      <c r="AO806" t="s">
        <v>2071</v>
      </c>
      <c r="AP806" t="s">
        <v>2072</v>
      </c>
      <c r="AQ806" t="s">
        <v>74</v>
      </c>
      <c r="AR806" t="s">
        <v>2073</v>
      </c>
      <c r="AS806" t="s">
        <v>2074</v>
      </c>
      <c r="AT806" t="s">
        <v>11681</v>
      </c>
      <c r="AU806">
        <v>2007</v>
      </c>
      <c r="AV806">
        <v>37</v>
      </c>
      <c r="AW806">
        <v>2</v>
      </c>
      <c r="AX806" t="s">
        <v>74</v>
      </c>
      <c r="AY806" t="s">
        <v>74</v>
      </c>
      <c r="AZ806" t="s">
        <v>74</v>
      </c>
      <c r="BA806" t="s">
        <v>74</v>
      </c>
      <c r="BB806">
        <v>230</v>
      </c>
      <c r="BC806">
        <v>244</v>
      </c>
      <c r="BD806" t="s">
        <v>74</v>
      </c>
      <c r="BE806" t="s">
        <v>12636</v>
      </c>
      <c r="BF806" t="str">
        <f>HYPERLINK("http://dx.doi.org/10.1175/JPO3009.1","http://dx.doi.org/10.1175/JPO3009.1")</f>
        <v>http://dx.doi.org/10.1175/JPO3009.1</v>
      </c>
      <c r="BG806" t="s">
        <v>74</v>
      </c>
      <c r="BH806" t="s">
        <v>74</v>
      </c>
      <c r="BI806">
        <v>15</v>
      </c>
      <c r="BJ806" t="s">
        <v>221</v>
      </c>
      <c r="BK806" t="s">
        <v>98</v>
      </c>
      <c r="BL806" t="s">
        <v>221</v>
      </c>
      <c r="BM806" t="s">
        <v>12623</v>
      </c>
      <c r="BN806" t="s">
        <v>74</v>
      </c>
      <c r="BO806" t="s">
        <v>154</v>
      </c>
      <c r="BP806" t="s">
        <v>74</v>
      </c>
      <c r="BQ806" t="s">
        <v>74</v>
      </c>
      <c r="BR806" t="s">
        <v>101</v>
      </c>
      <c r="BS806" t="s">
        <v>12637</v>
      </c>
      <c r="BT806" t="str">
        <f>HYPERLINK("https%3A%2F%2Fwww.webofscience.com%2Fwos%2Fwoscc%2Ffull-record%2FWOS:000244558000009","View Full Record in Web of Science")</f>
        <v>View Full Record in Web of Science</v>
      </c>
    </row>
    <row r="807" spans="1:72" x14ac:dyDescent="0.15">
      <c r="A807" t="s">
        <v>72</v>
      </c>
      <c r="B807" t="s">
        <v>12638</v>
      </c>
      <c r="C807" t="s">
        <v>74</v>
      </c>
      <c r="D807" t="s">
        <v>74</v>
      </c>
      <c r="E807" t="s">
        <v>74</v>
      </c>
      <c r="F807" t="s">
        <v>12639</v>
      </c>
      <c r="G807" t="s">
        <v>74</v>
      </c>
      <c r="H807" t="s">
        <v>74</v>
      </c>
      <c r="I807" t="s">
        <v>12640</v>
      </c>
      <c r="J807" t="s">
        <v>2064</v>
      </c>
      <c r="K807" t="s">
        <v>74</v>
      </c>
      <c r="L807" t="s">
        <v>74</v>
      </c>
      <c r="M807" t="s">
        <v>78</v>
      </c>
      <c r="N807" t="s">
        <v>79</v>
      </c>
      <c r="O807" t="s">
        <v>74</v>
      </c>
      <c r="P807" t="s">
        <v>74</v>
      </c>
      <c r="Q807" t="s">
        <v>74</v>
      </c>
      <c r="R807" t="s">
        <v>74</v>
      </c>
      <c r="S807" t="s">
        <v>74</v>
      </c>
      <c r="T807" t="s">
        <v>74</v>
      </c>
      <c r="U807" t="s">
        <v>12641</v>
      </c>
      <c r="V807" t="s">
        <v>12642</v>
      </c>
      <c r="W807" t="s">
        <v>4899</v>
      </c>
      <c r="X807" t="s">
        <v>3744</v>
      </c>
      <c r="Y807" t="s">
        <v>12643</v>
      </c>
      <c r="Z807" t="s">
        <v>12644</v>
      </c>
      <c r="AA807" t="s">
        <v>74</v>
      </c>
      <c r="AB807" t="s">
        <v>74</v>
      </c>
      <c r="AC807" t="s">
        <v>74</v>
      </c>
      <c r="AD807" t="s">
        <v>74</v>
      </c>
      <c r="AE807" t="s">
        <v>74</v>
      </c>
      <c r="AF807" t="s">
        <v>74</v>
      </c>
      <c r="AG807">
        <v>70</v>
      </c>
      <c r="AH807">
        <v>49</v>
      </c>
      <c r="AI807">
        <v>53</v>
      </c>
      <c r="AJ807">
        <v>1</v>
      </c>
      <c r="AK807">
        <v>24</v>
      </c>
      <c r="AL807" t="s">
        <v>567</v>
      </c>
      <c r="AM807" t="s">
        <v>568</v>
      </c>
      <c r="AN807" t="s">
        <v>569</v>
      </c>
      <c r="AO807" t="s">
        <v>2071</v>
      </c>
      <c r="AP807" t="s">
        <v>74</v>
      </c>
      <c r="AQ807" t="s">
        <v>74</v>
      </c>
      <c r="AR807" t="s">
        <v>2073</v>
      </c>
      <c r="AS807" t="s">
        <v>2074</v>
      </c>
      <c r="AT807" t="s">
        <v>11681</v>
      </c>
      <c r="AU807">
        <v>2007</v>
      </c>
      <c r="AV807">
        <v>37</v>
      </c>
      <c r="AW807">
        <v>2</v>
      </c>
      <c r="AX807" t="s">
        <v>74</v>
      </c>
      <c r="AY807" t="s">
        <v>74</v>
      </c>
      <c r="AZ807" t="s">
        <v>74</v>
      </c>
      <c r="BA807" t="s">
        <v>74</v>
      </c>
      <c r="BB807">
        <v>259</v>
      </c>
      <c r="BC807">
        <v>276</v>
      </c>
      <c r="BD807" t="s">
        <v>74</v>
      </c>
      <c r="BE807" t="s">
        <v>12645</v>
      </c>
      <c r="BF807" t="str">
        <f>HYPERLINK("http://dx.doi.org/10.1175/JPO3011.1","http://dx.doi.org/10.1175/JPO3011.1")</f>
        <v>http://dx.doi.org/10.1175/JPO3011.1</v>
      </c>
      <c r="BG807" t="s">
        <v>74</v>
      </c>
      <c r="BH807" t="s">
        <v>74</v>
      </c>
      <c r="BI807">
        <v>18</v>
      </c>
      <c r="BJ807" t="s">
        <v>221</v>
      </c>
      <c r="BK807" t="s">
        <v>98</v>
      </c>
      <c r="BL807" t="s">
        <v>221</v>
      </c>
      <c r="BM807" t="s">
        <v>12623</v>
      </c>
      <c r="BN807" t="s">
        <v>74</v>
      </c>
      <c r="BO807" t="s">
        <v>3113</v>
      </c>
      <c r="BP807" t="s">
        <v>74</v>
      </c>
      <c r="BQ807" t="s">
        <v>74</v>
      </c>
      <c r="BR807" t="s">
        <v>101</v>
      </c>
      <c r="BS807" t="s">
        <v>12646</v>
      </c>
      <c r="BT807" t="str">
        <f>HYPERLINK("https%3A%2F%2Fwww.webofscience.com%2Fwos%2Fwoscc%2Ffull-record%2FWOS:000244558000011","View Full Record in Web of Science")</f>
        <v>View Full Record in Web of Science</v>
      </c>
    </row>
    <row r="808" spans="1:72" x14ac:dyDescent="0.15">
      <c r="A808" t="s">
        <v>72</v>
      </c>
      <c r="B808" t="s">
        <v>12647</v>
      </c>
      <c r="C808" t="s">
        <v>74</v>
      </c>
      <c r="D808" t="s">
        <v>74</v>
      </c>
      <c r="E808" t="s">
        <v>74</v>
      </c>
      <c r="F808" t="s">
        <v>12648</v>
      </c>
      <c r="G808" t="s">
        <v>74</v>
      </c>
      <c r="H808" t="s">
        <v>74</v>
      </c>
      <c r="I808" t="s">
        <v>12649</v>
      </c>
      <c r="J808" t="s">
        <v>2064</v>
      </c>
      <c r="K808" t="s">
        <v>74</v>
      </c>
      <c r="L808" t="s">
        <v>74</v>
      </c>
      <c r="M808" t="s">
        <v>78</v>
      </c>
      <c r="N808" t="s">
        <v>79</v>
      </c>
      <c r="O808" t="s">
        <v>74</v>
      </c>
      <c r="P808" t="s">
        <v>74</v>
      </c>
      <c r="Q808" t="s">
        <v>74</v>
      </c>
      <c r="R808" t="s">
        <v>74</v>
      </c>
      <c r="S808" t="s">
        <v>74</v>
      </c>
      <c r="T808" t="s">
        <v>74</v>
      </c>
      <c r="U808" t="s">
        <v>12650</v>
      </c>
      <c r="V808" t="s">
        <v>12651</v>
      </c>
      <c r="W808" t="s">
        <v>12652</v>
      </c>
      <c r="X808" t="s">
        <v>12653</v>
      </c>
      <c r="Y808" t="s">
        <v>12654</v>
      </c>
      <c r="Z808" t="s">
        <v>12655</v>
      </c>
      <c r="AA808" t="s">
        <v>12656</v>
      </c>
      <c r="AB808" t="s">
        <v>12657</v>
      </c>
      <c r="AC808" t="s">
        <v>74</v>
      </c>
      <c r="AD808" t="s">
        <v>74</v>
      </c>
      <c r="AE808" t="s">
        <v>74</v>
      </c>
      <c r="AF808" t="s">
        <v>74</v>
      </c>
      <c r="AG808">
        <v>51</v>
      </c>
      <c r="AH808">
        <v>47</v>
      </c>
      <c r="AI808">
        <v>51</v>
      </c>
      <c r="AJ808">
        <v>0</v>
      </c>
      <c r="AK808">
        <v>21</v>
      </c>
      <c r="AL808" t="s">
        <v>567</v>
      </c>
      <c r="AM808" t="s">
        <v>568</v>
      </c>
      <c r="AN808" t="s">
        <v>569</v>
      </c>
      <c r="AO808" t="s">
        <v>2071</v>
      </c>
      <c r="AP808" t="s">
        <v>74</v>
      </c>
      <c r="AQ808" t="s">
        <v>74</v>
      </c>
      <c r="AR808" t="s">
        <v>2073</v>
      </c>
      <c r="AS808" t="s">
        <v>2074</v>
      </c>
      <c r="AT808" t="s">
        <v>11681</v>
      </c>
      <c r="AU808">
        <v>2007</v>
      </c>
      <c r="AV808">
        <v>37</v>
      </c>
      <c r="AW808">
        <v>2</v>
      </c>
      <c r="AX808" t="s">
        <v>74</v>
      </c>
      <c r="AY808" t="s">
        <v>74</v>
      </c>
      <c r="AZ808" t="s">
        <v>74</v>
      </c>
      <c r="BA808" t="s">
        <v>74</v>
      </c>
      <c r="BB808">
        <v>277</v>
      </c>
      <c r="BC808">
        <v>295</v>
      </c>
      <c r="BD808" t="s">
        <v>74</v>
      </c>
      <c r="BE808" t="s">
        <v>12658</v>
      </c>
      <c r="BF808" t="str">
        <f>HYPERLINK("http://dx.doi.org/10.1175/JPO3012.1","http://dx.doi.org/10.1175/JPO3012.1")</f>
        <v>http://dx.doi.org/10.1175/JPO3012.1</v>
      </c>
      <c r="BG808" t="s">
        <v>74</v>
      </c>
      <c r="BH808" t="s">
        <v>74</v>
      </c>
      <c r="BI808">
        <v>19</v>
      </c>
      <c r="BJ808" t="s">
        <v>221</v>
      </c>
      <c r="BK808" t="s">
        <v>98</v>
      </c>
      <c r="BL808" t="s">
        <v>221</v>
      </c>
      <c r="BM808" t="s">
        <v>12623</v>
      </c>
      <c r="BN808" t="s">
        <v>74</v>
      </c>
      <c r="BO808" t="s">
        <v>577</v>
      </c>
      <c r="BP808" t="s">
        <v>74</v>
      </c>
      <c r="BQ808" t="s">
        <v>74</v>
      </c>
      <c r="BR808" t="s">
        <v>101</v>
      </c>
      <c r="BS808" t="s">
        <v>12659</v>
      </c>
      <c r="BT808" t="str">
        <f>HYPERLINK("https%3A%2F%2Fwww.webofscience.com%2Fwos%2Fwoscc%2Ffull-record%2FWOS:000244558000012","View Full Record in Web of Science")</f>
        <v>View Full Record in Web of Science</v>
      </c>
    </row>
    <row r="809" spans="1:72" x14ac:dyDescent="0.15">
      <c r="A809" t="s">
        <v>72</v>
      </c>
      <c r="B809" t="s">
        <v>12660</v>
      </c>
      <c r="C809" t="s">
        <v>74</v>
      </c>
      <c r="D809" t="s">
        <v>74</v>
      </c>
      <c r="E809" t="s">
        <v>74</v>
      </c>
      <c r="F809" t="s">
        <v>12661</v>
      </c>
      <c r="G809" t="s">
        <v>74</v>
      </c>
      <c r="H809" t="s">
        <v>74</v>
      </c>
      <c r="I809" t="s">
        <v>12662</v>
      </c>
      <c r="J809" t="s">
        <v>12663</v>
      </c>
      <c r="K809" t="s">
        <v>74</v>
      </c>
      <c r="L809" t="s">
        <v>74</v>
      </c>
      <c r="M809" t="s">
        <v>78</v>
      </c>
      <c r="N809" t="s">
        <v>79</v>
      </c>
      <c r="O809" t="s">
        <v>74</v>
      </c>
      <c r="P809" t="s">
        <v>74</v>
      </c>
      <c r="Q809" t="s">
        <v>74</v>
      </c>
      <c r="R809" t="s">
        <v>74</v>
      </c>
      <c r="S809" t="s">
        <v>74</v>
      </c>
      <c r="T809" t="s">
        <v>12664</v>
      </c>
      <c r="U809" t="s">
        <v>12665</v>
      </c>
      <c r="V809" t="s">
        <v>12666</v>
      </c>
      <c r="W809" t="s">
        <v>12667</v>
      </c>
      <c r="X809" t="s">
        <v>12668</v>
      </c>
      <c r="Y809" t="s">
        <v>12669</v>
      </c>
      <c r="Z809" t="s">
        <v>12670</v>
      </c>
      <c r="AA809" t="s">
        <v>74</v>
      </c>
      <c r="AB809" t="s">
        <v>74</v>
      </c>
      <c r="AC809" t="s">
        <v>12671</v>
      </c>
      <c r="AD809" t="s">
        <v>12672</v>
      </c>
      <c r="AE809" t="s">
        <v>74</v>
      </c>
      <c r="AF809" t="s">
        <v>74</v>
      </c>
      <c r="AG809">
        <v>69</v>
      </c>
      <c r="AH809">
        <v>83</v>
      </c>
      <c r="AI809">
        <v>106</v>
      </c>
      <c r="AJ809">
        <v>0</v>
      </c>
      <c r="AK809">
        <v>36</v>
      </c>
      <c r="AL809" t="s">
        <v>337</v>
      </c>
      <c r="AM809" t="s">
        <v>142</v>
      </c>
      <c r="AN809" t="s">
        <v>338</v>
      </c>
      <c r="AO809" t="s">
        <v>12673</v>
      </c>
      <c r="AP809" t="s">
        <v>12674</v>
      </c>
      <c r="AQ809" t="s">
        <v>74</v>
      </c>
      <c r="AR809" t="s">
        <v>12675</v>
      </c>
      <c r="AS809" t="s">
        <v>12676</v>
      </c>
      <c r="AT809" t="s">
        <v>11681</v>
      </c>
      <c r="AU809">
        <v>2007</v>
      </c>
      <c r="AV809">
        <v>6</v>
      </c>
      <c r="AW809">
        <v>2</v>
      </c>
      <c r="AX809" t="s">
        <v>74</v>
      </c>
      <c r="AY809" t="s">
        <v>74</v>
      </c>
      <c r="AZ809" t="s">
        <v>74</v>
      </c>
      <c r="BA809" t="s">
        <v>74</v>
      </c>
      <c r="BB809">
        <v>759</v>
      </c>
      <c r="BC809">
        <v>771</v>
      </c>
      <c r="BD809" t="s">
        <v>74</v>
      </c>
      <c r="BE809" t="s">
        <v>12677</v>
      </c>
      <c r="BF809" t="str">
        <f>HYPERLINK("http://dx.doi.org/10.1021/pr060383l","http://dx.doi.org/10.1021/pr060383l")</f>
        <v>http://dx.doi.org/10.1021/pr060383l</v>
      </c>
      <c r="BG809" t="s">
        <v>74</v>
      </c>
      <c r="BH809" t="s">
        <v>74</v>
      </c>
      <c r="BI809">
        <v>13</v>
      </c>
      <c r="BJ809" t="s">
        <v>12678</v>
      </c>
      <c r="BK809" t="s">
        <v>98</v>
      </c>
      <c r="BL809" t="s">
        <v>2547</v>
      </c>
      <c r="BM809" t="s">
        <v>12679</v>
      </c>
      <c r="BN809">
        <v>17269732</v>
      </c>
      <c r="BO809" t="s">
        <v>223</v>
      </c>
      <c r="BP809" t="s">
        <v>74</v>
      </c>
      <c r="BQ809" t="s">
        <v>74</v>
      </c>
      <c r="BR809" t="s">
        <v>101</v>
      </c>
      <c r="BS809" t="s">
        <v>12680</v>
      </c>
      <c r="BT809" t="str">
        <f>HYPERLINK("https%3A%2F%2Fwww.webofscience.com%2Fwos%2Fwoscc%2Ffull-record%2FWOS:000243927900031","View Full Record in Web of Science")</f>
        <v>View Full Record in Web of Science</v>
      </c>
    </row>
    <row r="810" spans="1:72" x14ac:dyDescent="0.15">
      <c r="A810" t="s">
        <v>72</v>
      </c>
      <c r="B810" t="s">
        <v>12681</v>
      </c>
      <c r="C810" t="s">
        <v>74</v>
      </c>
      <c r="D810" t="s">
        <v>74</v>
      </c>
      <c r="E810" t="s">
        <v>74</v>
      </c>
      <c r="F810" t="s">
        <v>12682</v>
      </c>
      <c r="G810" t="s">
        <v>74</v>
      </c>
      <c r="H810" t="s">
        <v>74</v>
      </c>
      <c r="I810" t="s">
        <v>12683</v>
      </c>
      <c r="J810" t="s">
        <v>12684</v>
      </c>
      <c r="K810" t="s">
        <v>74</v>
      </c>
      <c r="L810" t="s">
        <v>74</v>
      </c>
      <c r="M810" t="s">
        <v>78</v>
      </c>
      <c r="N810" t="s">
        <v>79</v>
      </c>
      <c r="O810" t="s">
        <v>74</v>
      </c>
      <c r="P810" t="s">
        <v>74</v>
      </c>
      <c r="Q810" t="s">
        <v>74</v>
      </c>
      <c r="R810" t="s">
        <v>74</v>
      </c>
      <c r="S810" t="s">
        <v>74</v>
      </c>
      <c r="T810" t="s">
        <v>12685</v>
      </c>
      <c r="U810" t="s">
        <v>12686</v>
      </c>
      <c r="V810" t="s">
        <v>12687</v>
      </c>
      <c r="W810" t="s">
        <v>12688</v>
      </c>
      <c r="X810" t="s">
        <v>12689</v>
      </c>
      <c r="Y810" t="s">
        <v>12690</v>
      </c>
      <c r="Z810" t="s">
        <v>12691</v>
      </c>
      <c r="AA810" t="s">
        <v>12692</v>
      </c>
      <c r="AB810" t="s">
        <v>12693</v>
      </c>
      <c r="AC810" t="s">
        <v>74</v>
      </c>
      <c r="AD810" t="s">
        <v>74</v>
      </c>
      <c r="AE810" t="s">
        <v>74</v>
      </c>
      <c r="AF810" t="s">
        <v>74</v>
      </c>
      <c r="AG810">
        <v>65</v>
      </c>
      <c r="AH810">
        <v>46</v>
      </c>
      <c r="AI810">
        <v>48</v>
      </c>
      <c r="AJ810">
        <v>0</v>
      </c>
      <c r="AK810">
        <v>8</v>
      </c>
      <c r="AL810" t="s">
        <v>1503</v>
      </c>
      <c r="AM810" t="s">
        <v>1504</v>
      </c>
      <c r="AN810" t="s">
        <v>1505</v>
      </c>
      <c r="AO810" t="s">
        <v>12694</v>
      </c>
      <c r="AP810" t="s">
        <v>74</v>
      </c>
      <c r="AQ810" t="s">
        <v>74</v>
      </c>
      <c r="AR810" t="s">
        <v>12695</v>
      </c>
      <c r="AS810" t="s">
        <v>12696</v>
      </c>
      <c r="AT810" t="s">
        <v>11681</v>
      </c>
      <c r="AU810">
        <v>2007</v>
      </c>
      <c r="AV810">
        <v>23</v>
      </c>
      <c r="AW810" t="s">
        <v>2608</v>
      </c>
      <c r="AX810" t="s">
        <v>74</v>
      </c>
      <c r="AY810" t="s">
        <v>74</v>
      </c>
      <c r="AZ810" t="s">
        <v>74</v>
      </c>
      <c r="BA810" t="s">
        <v>74</v>
      </c>
      <c r="BB810">
        <v>256</v>
      </c>
      <c r="BC810">
        <v>268</v>
      </c>
      <c r="BD810" t="s">
        <v>74</v>
      </c>
      <c r="BE810" t="s">
        <v>12697</v>
      </c>
      <c r="BF810" t="str">
        <f>HYPERLINK("http://dx.doi.org/10.1016/j.jsames.2006.09.023","http://dx.doi.org/10.1016/j.jsames.2006.09.023")</f>
        <v>http://dx.doi.org/10.1016/j.jsames.2006.09.023</v>
      </c>
      <c r="BG810" t="s">
        <v>74</v>
      </c>
      <c r="BH810" t="s">
        <v>74</v>
      </c>
      <c r="BI810">
        <v>13</v>
      </c>
      <c r="BJ810" t="s">
        <v>151</v>
      </c>
      <c r="BK810" t="s">
        <v>98</v>
      </c>
      <c r="BL810" t="s">
        <v>152</v>
      </c>
      <c r="BM810" t="s">
        <v>12698</v>
      </c>
      <c r="BN810" t="s">
        <v>74</v>
      </c>
      <c r="BO810" t="s">
        <v>74</v>
      </c>
      <c r="BP810" t="s">
        <v>74</v>
      </c>
      <c r="BQ810" t="s">
        <v>74</v>
      </c>
      <c r="BR810" t="s">
        <v>101</v>
      </c>
      <c r="BS810" t="s">
        <v>12699</v>
      </c>
      <c r="BT810" t="str">
        <f>HYPERLINK("https%3A%2F%2Fwww.webofscience.com%2Fwos%2Fwoscc%2Ffull-record%2FWOS:000245771900008","View Full Record in Web of Science")</f>
        <v>View Full Record in Web of Science</v>
      </c>
    </row>
    <row r="811" spans="1:72" x14ac:dyDescent="0.15">
      <c r="A811" t="s">
        <v>72</v>
      </c>
      <c r="B811" t="s">
        <v>12700</v>
      </c>
      <c r="C811" t="s">
        <v>74</v>
      </c>
      <c r="D811" t="s">
        <v>74</v>
      </c>
      <c r="E811" t="s">
        <v>74</v>
      </c>
      <c r="F811" t="s">
        <v>12701</v>
      </c>
      <c r="G811" t="s">
        <v>74</v>
      </c>
      <c r="H811" t="s">
        <v>74</v>
      </c>
      <c r="I811" t="s">
        <v>12702</v>
      </c>
      <c r="J811" t="s">
        <v>8958</v>
      </c>
      <c r="K811" t="s">
        <v>74</v>
      </c>
      <c r="L811" t="s">
        <v>74</v>
      </c>
      <c r="M811" t="s">
        <v>78</v>
      </c>
      <c r="N811" t="s">
        <v>79</v>
      </c>
      <c r="O811" t="s">
        <v>74</v>
      </c>
      <c r="P811" t="s">
        <v>74</v>
      </c>
      <c r="Q811" t="s">
        <v>74</v>
      </c>
      <c r="R811" t="s">
        <v>74</v>
      </c>
      <c r="S811" t="s">
        <v>74</v>
      </c>
      <c r="T811" t="s">
        <v>12703</v>
      </c>
      <c r="U811" t="s">
        <v>12704</v>
      </c>
      <c r="V811" t="s">
        <v>12705</v>
      </c>
      <c r="W811" t="s">
        <v>12706</v>
      </c>
      <c r="X811" t="s">
        <v>12707</v>
      </c>
      <c r="Y811" t="s">
        <v>12708</v>
      </c>
      <c r="Z811" t="s">
        <v>12709</v>
      </c>
      <c r="AA811" t="s">
        <v>74</v>
      </c>
      <c r="AB811" t="s">
        <v>12710</v>
      </c>
      <c r="AC811" t="s">
        <v>74</v>
      </c>
      <c r="AD811" t="s">
        <v>74</v>
      </c>
      <c r="AE811" t="s">
        <v>74</v>
      </c>
      <c r="AF811" t="s">
        <v>74</v>
      </c>
      <c r="AG811">
        <v>82</v>
      </c>
      <c r="AH811">
        <v>1</v>
      </c>
      <c r="AI811">
        <v>2</v>
      </c>
      <c r="AJ811">
        <v>0</v>
      </c>
      <c r="AK811">
        <v>6</v>
      </c>
      <c r="AL811" t="s">
        <v>8966</v>
      </c>
      <c r="AM811" t="s">
        <v>8967</v>
      </c>
      <c r="AN811" t="s">
        <v>8968</v>
      </c>
      <c r="AO811" t="s">
        <v>8969</v>
      </c>
      <c r="AP811" t="s">
        <v>8970</v>
      </c>
      <c r="AQ811" t="s">
        <v>74</v>
      </c>
      <c r="AR811" t="s">
        <v>8971</v>
      </c>
      <c r="AS811" t="s">
        <v>8972</v>
      </c>
      <c r="AT811" t="s">
        <v>11681</v>
      </c>
      <c r="AU811">
        <v>2007</v>
      </c>
      <c r="AV811">
        <v>69</v>
      </c>
      <c r="AW811">
        <v>2</v>
      </c>
      <c r="AX811" t="s">
        <v>74</v>
      </c>
      <c r="AY811" t="s">
        <v>74</v>
      </c>
      <c r="AZ811" t="s">
        <v>74</v>
      </c>
      <c r="BA811" t="s">
        <v>74</v>
      </c>
      <c r="BB811">
        <v>222</v>
      </c>
      <c r="BC811">
        <v>232</v>
      </c>
      <c r="BD811" t="s">
        <v>74</v>
      </c>
      <c r="BE811" t="s">
        <v>74</v>
      </c>
      <c r="BF811" t="s">
        <v>74</v>
      </c>
      <c r="BG811" t="s">
        <v>74</v>
      </c>
      <c r="BH811" t="s">
        <v>74</v>
      </c>
      <c r="BI811">
        <v>11</v>
      </c>
      <c r="BJ811" t="s">
        <v>151</v>
      </c>
      <c r="BK811" t="s">
        <v>98</v>
      </c>
      <c r="BL811" t="s">
        <v>152</v>
      </c>
      <c r="BM811" t="s">
        <v>12711</v>
      </c>
      <c r="BN811" t="s">
        <v>74</v>
      </c>
      <c r="BO811" t="s">
        <v>74</v>
      </c>
      <c r="BP811" t="s">
        <v>74</v>
      </c>
      <c r="BQ811" t="s">
        <v>74</v>
      </c>
      <c r="BR811" t="s">
        <v>101</v>
      </c>
      <c r="BS811" t="s">
        <v>12712</v>
      </c>
      <c r="BT811" t="str">
        <f>HYPERLINK("https%3A%2F%2Fwww.webofscience.com%2Fwos%2Fwoscc%2Ffull-record%2FWOS:000245722500002","View Full Record in Web of Science")</f>
        <v>View Full Record in Web of Science</v>
      </c>
    </row>
    <row r="812" spans="1:72" x14ac:dyDescent="0.15">
      <c r="A812" t="s">
        <v>72</v>
      </c>
      <c r="B812" t="s">
        <v>12713</v>
      </c>
      <c r="C812" t="s">
        <v>74</v>
      </c>
      <c r="D812" t="s">
        <v>74</v>
      </c>
      <c r="E812" t="s">
        <v>74</v>
      </c>
      <c r="F812" t="s">
        <v>12714</v>
      </c>
      <c r="G812" t="s">
        <v>74</v>
      </c>
      <c r="H812" t="s">
        <v>74</v>
      </c>
      <c r="I812" t="s">
        <v>12715</v>
      </c>
      <c r="J812" t="s">
        <v>8958</v>
      </c>
      <c r="K812" t="s">
        <v>74</v>
      </c>
      <c r="L812" t="s">
        <v>74</v>
      </c>
      <c r="M812" t="s">
        <v>78</v>
      </c>
      <c r="N812" t="s">
        <v>79</v>
      </c>
      <c r="O812" t="s">
        <v>74</v>
      </c>
      <c r="P812" t="s">
        <v>74</v>
      </c>
      <c r="Q812" t="s">
        <v>74</v>
      </c>
      <c r="R812" t="s">
        <v>74</v>
      </c>
      <c r="S812" t="s">
        <v>74</v>
      </c>
      <c r="T812" t="s">
        <v>12716</v>
      </c>
      <c r="U812" t="s">
        <v>12717</v>
      </c>
      <c r="V812" t="s">
        <v>12718</v>
      </c>
      <c r="W812" t="s">
        <v>12719</v>
      </c>
      <c r="X812" t="s">
        <v>12720</v>
      </c>
      <c r="Y812" t="s">
        <v>12721</v>
      </c>
      <c r="Z812" t="s">
        <v>12722</v>
      </c>
      <c r="AA812" t="s">
        <v>74</v>
      </c>
      <c r="AB812" t="s">
        <v>12723</v>
      </c>
      <c r="AC812" t="s">
        <v>74</v>
      </c>
      <c r="AD812" t="s">
        <v>74</v>
      </c>
      <c r="AE812" t="s">
        <v>74</v>
      </c>
      <c r="AF812" t="s">
        <v>74</v>
      </c>
      <c r="AG812">
        <v>73</v>
      </c>
      <c r="AH812">
        <v>7</v>
      </c>
      <c r="AI812">
        <v>7</v>
      </c>
      <c r="AJ812">
        <v>0</v>
      </c>
      <c r="AK812">
        <v>7</v>
      </c>
      <c r="AL812" t="s">
        <v>8966</v>
      </c>
      <c r="AM812" t="s">
        <v>8967</v>
      </c>
      <c r="AN812" t="s">
        <v>8968</v>
      </c>
      <c r="AO812" t="s">
        <v>8969</v>
      </c>
      <c r="AP812" t="s">
        <v>8970</v>
      </c>
      <c r="AQ812" t="s">
        <v>74</v>
      </c>
      <c r="AR812" t="s">
        <v>8971</v>
      </c>
      <c r="AS812" t="s">
        <v>8972</v>
      </c>
      <c r="AT812" t="s">
        <v>11681</v>
      </c>
      <c r="AU812">
        <v>2007</v>
      </c>
      <c r="AV812">
        <v>69</v>
      </c>
      <c r="AW812">
        <v>2</v>
      </c>
      <c r="AX812" t="s">
        <v>74</v>
      </c>
      <c r="AY812" t="s">
        <v>74</v>
      </c>
      <c r="AZ812" t="s">
        <v>74</v>
      </c>
      <c r="BA812" t="s">
        <v>74</v>
      </c>
      <c r="BB812">
        <v>331</v>
      </c>
      <c r="BC812">
        <v>343</v>
      </c>
      <c r="BD812" t="s">
        <v>74</v>
      </c>
      <c r="BE812" t="s">
        <v>74</v>
      </c>
      <c r="BF812" t="s">
        <v>74</v>
      </c>
      <c r="BG812" t="s">
        <v>74</v>
      </c>
      <c r="BH812" t="s">
        <v>74</v>
      </c>
      <c r="BI812">
        <v>13</v>
      </c>
      <c r="BJ812" t="s">
        <v>151</v>
      </c>
      <c r="BK812" t="s">
        <v>98</v>
      </c>
      <c r="BL812" t="s">
        <v>152</v>
      </c>
      <c r="BM812" t="s">
        <v>12711</v>
      </c>
      <c r="BN812" t="s">
        <v>74</v>
      </c>
      <c r="BO812" t="s">
        <v>74</v>
      </c>
      <c r="BP812" t="s">
        <v>74</v>
      </c>
      <c r="BQ812" t="s">
        <v>74</v>
      </c>
      <c r="BR812" t="s">
        <v>101</v>
      </c>
      <c r="BS812" t="s">
        <v>12724</v>
      </c>
      <c r="BT812" t="str">
        <f>HYPERLINK("https%3A%2F%2Fwww.webofscience.com%2Fwos%2Fwoscc%2Ffull-record%2FWOS:000245722500015","View Full Record in Web of Science")</f>
        <v>View Full Record in Web of Science</v>
      </c>
    </row>
    <row r="813" spans="1:72" x14ac:dyDescent="0.15">
      <c r="A813" t="s">
        <v>72</v>
      </c>
      <c r="B813" t="s">
        <v>12725</v>
      </c>
      <c r="C813" t="s">
        <v>74</v>
      </c>
      <c r="D813" t="s">
        <v>74</v>
      </c>
      <c r="E813" t="s">
        <v>74</v>
      </c>
      <c r="F813" t="s">
        <v>12726</v>
      </c>
      <c r="G813" t="s">
        <v>74</v>
      </c>
      <c r="H813" t="s">
        <v>74</v>
      </c>
      <c r="I813" t="s">
        <v>12727</v>
      </c>
      <c r="J813" t="s">
        <v>12728</v>
      </c>
      <c r="K813" t="s">
        <v>74</v>
      </c>
      <c r="L813" t="s">
        <v>74</v>
      </c>
      <c r="M813" t="s">
        <v>78</v>
      </c>
      <c r="N813" t="s">
        <v>79</v>
      </c>
      <c r="O813" t="s">
        <v>74</v>
      </c>
      <c r="P813" t="s">
        <v>74</v>
      </c>
      <c r="Q813" t="s">
        <v>74</v>
      </c>
      <c r="R813" t="s">
        <v>74</v>
      </c>
      <c r="S813" t="s">
        <v>74</v>
      </c>
      <c r="T813" t="s">
        <v>74</v>
      </c>
      <c r="U813" t="s">
        <v>12729</v>
      </c>
      <c r="V813" t="s">
        <v>12730</v>
      </c>
      <c r="W813" t="s">
        <v>12731</v>
      </c>
      <c r="X813" t="s">
        <v>12732</v>
      </c>
      <c r="Y813" t="s">
        <v>12733</v>
      </c>
      <c r="Z813" t="s">
        <v>12734</v>
      </c>
      <c r="AA813" t="s">
        <v>12735</v>
      </c>
      <c r="AB813" t="s">
        <v>12736</v>
      </c>
      <c r="AC813" t="s">
        <v>4672</v>
      </c>
      <c r="AD813" t="s">
        <v>140</v>
      </c>
      <c r="AE813" t="s">
        <v>74</v>
      </c>
      <c r="AF813" t="s">
        <v>74</v>
      </c>
      <c r="AG813">
        <v>47</v>
      </c>
      <c r="AH813">
        <v>19</v>
      </c>
      <c r="AI813">
        <v>21</v>
      </c>
      <c r="AJ813">
        <v>2</v>
      </c>
      <c r="AK813">
        <v>33</v>
      </c>
      <c r="AL813" t="s">
        <v>4219</v>
      </c>
      <c r="AM813" t="s">
        <v>1593</v>
      </c>
      <c r="AN813" t="s">
        <v>4220</v>
      </c>
      <c r="AO813" t="s">
        <v>12737</v>
      </c>
      <c r="AP813" t="s">
        <v>74</v>
      </c>
      <c r="AQ813" t="s">
        <v>74</v>
      </c>
      <c r="AR813" t="s">
        <v>12738</v>
      </c>
      <c r="AS813" t="s">
        <v>12739</v>
      </c>
      <c r="AT813" t="s">
        <v>11681</v>
      </c>
      <c r="AU813">
        <v>2007</v>
      </c>
      <c r="AV813">
        <v>87</v>
      </c>
      <c r="AW813">
        <v>1</v>
      </c>
      <c r="AX813" t="s">
        <v>74</v>
      </c>
      <c r="AY813" t="s">
        <v>74</v>
      </c>
      <c r="AZ813" t="s">
        <v>532</v>
      </c>
      <c r="BA813" t="s">
        <v>74</v>
      </c>
      <c r="BB813">
        <v>93</v>
      </c>
      <c r="BC813">
        <v>99</v>
      </c>
      <c r="BD813" t="s">
        <v>74</v>
      </c>
      <c r="BE813" t="s">
        <v>12740</v>
      </c>
      <c r="BF813" t="str">
        <f>HYPERLINK("http://dx.doi.org/10.1017/S0025315407056147","http://dx.doi.org/10.1017/S0025315407056147")</f>
        <v>http://dx.doi.org/10.1017/S0025315407056147</v>
      </c>
      <c r="BG813" t="s">
        <v>74</v>
      </c>
      <c r="BH813" t="s">
        <v>74</v>
      </c>
      <c r="BI813">
        <v>7</v>
      </c>
      <c r="BJ813" t="s">
        <v>2178</v>
      </c>
      <c r="BK813" t="s">
        <v>98</v>
      </c>
      <c r="BL813" t="s">
        <v>2178</v>
      </c>
      <c r="BM813" t="s">
        <v>12741</v>
      </c>
      <c r="BN813" t="s">
        <v>74</v>
      </c>
      <c r="BO813" t="s">
        <v>198</v>
      </c>
      <c r="BP813" t="s">
        <v>74</v>
      </c>
      <c r="BQ813" t="s">
        <v>74</v>
      </c>
      <c r="BR813" t="s">
        <v>101</v>
      </c>
      <c r="BS813" t="s">
        <v>12742</v>
      </c>
      <c r="BT813" t="str">
        <f>HYPERLINK("https%3A%2F%2Fwww.webofscience.com%2Fwos%2Fwoscc%2Ffull-record%2FWOS:000245142700014","View Full Record in Web of Science")</f>
        <v>View Full Record in Web of Science</v>
      </c>
    </row>
    <row r="814" spans="1:72" x14ac:dyDescent="0.15">
      <c r="A814" t="s">
        <v>72</v>
      </c>
      <c r="B814" t="s">
        <v>12743</v>
      </c>
      <c r="C814" t="s">
        <v>74</v>
      </c>
      <c r="D814" t="s">
        <v>74</v>
      </c>
      <c r="E814" t="s">
        <v>74</v>
      </c>
      <c r="F814" t="s">
        <v>12744</v>
      </c>
      <c r="G814" t="s">
        <v>74</v>
      </c>
      <c r="H814" t="s">
        <v>74</v>
      </c>
      <c r="I814" t="s">
        <v>12745</v>
      </c>
      <c r="J814" t="s">
        <v>582</v>
      </c>
      <c r="K814" t="s">
        <v>74</v>
      </c>
      <c r="L814" t="s">
        <v>74</v>
      </c>
      <c r="M814" t="s">
        <v>78</v>
      </c>
      <c r="N814" t="s">
        <v>79</v>
      </c>
      <c r="O814" t="s">
        <v>74</v>
      </c>
      <c r="P814" t="s">
        <v>74</v>
      </c>
      <c r="Q814" t="s">
        <v>74</v>
      </c>
      <c r="R814" t="s">
        <v>74</v>
      </c>
      <c r="S814" t="s">
        <v>74</v>
      </c>
      <c r="T814" t="s">
        <v>12746</v>
      </c>
      <c r="U814" t="s">
        <v>12747</v>
      </c>
      <c r="V814" t="s">
        <v>12748</v>
      </c>
      <c r="W814" t="s">
        <v>12749</v>
      </c>
      <c r="X814" t="s">
        <v>12750</v>
      </c>
      <c r="Y814" t="s">
        <v>12751</v>
      </c>
      <c r="Z814" t="s">
        <v>12752</v>
      </c>
      <c r="AA814" t="s">
        <v>12753</v>
      </c>
      <c r="AB814" t="s">
        <v>12754</v>
      </c>
      <c r="AC814" t="s">
        <v>74</v>
      </c>
      <c r="AD814" t="s">
        <v>74</v>
      </c>
      <c r="AE814" t="s">
        <v>74</v>
      </c>
      <c r="AF814" t="s">
        <v>74</v>
      </c>
      <c r="AG814">
        <v>67</v>
      </c>
      <c r="AH814">
        <v>9</v>
      </c>
      <c r="AI814">
        <v>10</v>
      </c>
      <c r="AJ814">
        <v>0</v>
      </c>
      <c r="AK814">
        <v>14</v>
      </c>
      <c r="AL814" t="s">
        <v>592</v>
      </c>
      <c r="AM814" t="s">
        <v>273</v>
      </c>
      <c r="AN814" t="s">
        <v>593</v>
      </c>
      <c r="AO814" t="s">
        <v>594</v>
      </c>
      <c r="AP814" t="s">
        <v>614</v>
      </c>
      <c r="AQ814" t="s">
        <v>74</v>
      </c>
      <c r="AR814" t="s">
        <v>595</v>
      </c>
      <c r="AS814" t="s">
        <v>596</v>
      </c>
      <c r="AT814" t="s">
        <v>12385</v>
      </c>
      <c r="AU814">
        <v>2007</v>
      </c>
      <c r="AV814">
        <v>236</v>
      </c>
      <c r="AW814" t="s">
        <v>686</v>
      </c>
      <c r="AX814" t="s">
        <v>74</v>
      </c>
      <c r="AY814" t="s">
        <v>74</v>
      </c>
      <c r="AZ814" t="s">
        <v>74</v>
      </c>
      <c r="BA814" t="s">
        <v>74</v>
      </c>
      <c r="BB814">
        <v>121</v>
      </c>
      <c r="BC814">
        <v>141</v>
      </c>
      <c r="BD814" t="s">
        <v>74</v>
      </c>
      <c r="BE814" t="s">
        <v>12755</v>
      </c>
      <c r="BF814" t="str">
        <f>HYPERLINK("http://dx.doi.org/10.1016/j.margeo.2006.10.021","http://dx.doi.org/10.1016/j.margeo.2006.10.021")</f>
        <v>http://dx.doi.org/10.1016/j.margeo.2006.10.021</v>
      </c>
      <c r="BG814" t="s">
        <v>74</v>
      </c>
      <c r="BH814" t="s">
        <v>74</v>
      </c>
      <c r="BI814">
        <v>21</v>
      </c>
      <c r="BJ814" t="s">
        <v>598</v>
      </c>
      <c r="BK814" t="s">
        <v>98</v>
      </c>
      <c r="BL814" t="s">
        <v>599</v>
      </c>
      <c r="BM814" t="s">
        <v>12756</v>
      </c>
      <c r="BN814" t="s">
        <v>74</v>
      </c>
      <c r="BO814" t="s">
        <v>154</v>
      </c>
      <c r="BP814" t="s">
        <v>74</v>
      </c>
      <c r="BQ814" t="s">
        <v>74</v>
      </c>
      <c r="BR814" t="s">
        <v>101</v>
      </c>
      <c r="BS814" t="s">
        <v>12757</v>
      </c>
      <c r="BT814" t="str">
        <f>HYPERLINK("https%3A%2F%2Fwww.webofscience.com%2Fwos%2Fwoscc%2Ffull-record%2FWOS:000244255200001","View Full Record in Web of Science")</f>
        <v>View Full Record in Web of Science</v>
      </c>
    </row>
    <row r="815" spans="1:72" x14ac:dyDescent="0.15">
      <c r="A815" t="s">
        <v>72</v>
      </c>
      <c r="B815" t="s">
        <v>12758</v>
      </c>
      <c r="C815" t="s">
        <v>74</v>
      </c>
      <c r="D815" t="s">
        <v>74</v>
      </c>
      <c r="E815" t="s">
        <v>74</v>
      </c>
      <c r="F815" t="s">
        <v>12759</v>
      </c>
      <c r="G815" t="s">
        <v>74</v>
      </c>
      <c r="H815" t="s">
        <v>74</v>
      </c>
      <c r="I815" t="s">
        <v>12760</v>
      </c>
      <c r="J815" t="s">
        <v>582</v>
      </c>
      <c r="K815" t="s">
        <v>74</v>
      </c>
      <c r="L815" t="s">
        <v>74</v>
      </c>
      <c r="M815" t="s">
        <v>78</v>
      </c>
      <c r="N815" t="s">
        <v>79</v>
      </c>
      <c r="O815" t="s">
        <v>74</v>
      </c>
      <c r="P815" t="s">
        <v>74</v>
      </c>
      <c r="Q815" t="s">
        <v>74</v>
      </c>
      <c r="R815" t="s">
        <v>74</v>
      </c>
      <c r="S815" t="s">
        <v>74</v>
      </c>
      <c r="T815" t="s">
        <v>12761</v>
      </c>
      <c r="U815" t="s">
        <v>12762</v>
      </c>
      <c r="V815" t="s">
        <v>12763</v>
      </c>
      <c r="W815" t="s">
        <v>12764</v>
      </c>
      <c r="X815" t="s">
        <v>12765</v>
      </c>
      <c r="Y815" t="s">
        <v>12766</v>
      </c>
      <c r="Z815" t="s">
        <v>12767</v>
      </c>
      <c r="AA815" t="s">
        <v>74</v>
      </c>
      <c r="AB815" t="s">
        <v>74</v>
      </c>
      <c r="AC815" t="s">
        <v>74</v>
      </c>
      <c r="AD815" t="s">
        <v>74</v>
      </c>
      <c r="AE815" t="s">
        <v>74</v>
      </c>
      <c r="AF815" t="s">
        <v>74</v>
      </c>
      <c r="AG815">
        <v>63</v>
      </c>
      <c r="AH815">
        <v>5</v>
      </c>
      <c r="AI815">
        <v>5</v>
      </c>
      <c r="AJ815">
        <v>0</v>
      </c>
      <c r="AK815">
        <v>10</v>
      </c>
      <c r="AL815" t="s">
        <v>272</v>
      </c>
      <c r="AM815" t="s">
        <v>273</v>
      </c>
      <c r="AN815" t="s">
        <v>274</v>
      </c>
      <c r="AO815" t="s">
        <v>594</v>
      </c>
      <c r="AP815" t="s">
        <v>614</v>
      </c>
      <c r="AQ815" t="s">
        <v>74</v>
      </c>
      <c r="AR815" t="s">
        <v>595</v>
      </c>
      <c r="AS815" t="s">
        <v>596</v>
      </c>
      <c r="AT815" t="s">
        <v>12385</v>
      </c>
      <c r="AU815">
        <v>2007</v>
      </c>
      <c r="AV815">
        <v>236</v>
      </c>
      <c r="AW815" t="s">
        <v>686</v>
      </c>
      <c r="AX815" t="s">
        <v>74</v>
      </c>
      <c r="AY815" t="s">
        <v>74</v>
      </c>
      <c r="AZ815" t="s">
        <v>74</v>
      </c>
      <c r="BA815" t="s">
        <v>74</v>
      </c>
      <c r="BB815">
        <v>223</v>
      </c>
      <c r="BC815">
        <v>245</v>
      </c>
      <c r="BD815" t="s">
        <v>74</v>
      </c>
      <c r="BE815" t="s">
        <v>12768</v>
      </c>
      <c r="BF815" t="str">
        <f>HYPERLINK("http://dx.doi.org/10.1016/j.margeo.2006.10.032","http://dx.doi.org/10.1016/j.margeo.2006.10.032")</f>
        <v>http://dx.doi.org/10.1016/j.margeo.2006.10.032</v>
      </c>
      <c r="BG815" t="s">
        <v>74</v>
      </c>
      <c r="BH815" t="s">
        <v>74</v>
      </c>
      <c r="BI815">
        <v>23</v>
      </c>
      <c r="BJ815" t="s">
        <v>598</v>
      </c>
      <c r="BK815" t="s">
        <v>98</v>
      </c>
      <c r="BL815" t="s">
        <v>599</v>
      </c>
      <c r="BM815" t="s">
        <v>12756</v>
      </c>
      <c r="BN815" t="s">
        <v>74</v>
      </c>
      <c r="BO815" t="s">
        <v>74</v>
      </c>
      <c r="BP815" t="s">
        <v>74</v>
      </c>
      <c r="BQ815" t="s">
        <v>74</v>
      </c>
      <c r="BR815" t="s">
        <v>101</v>
      </c>
      <c r="BS815" t="s">
        <v>12769</v>
      </c>
      <c r="BT815" t="str">
        <f>HYPERLINK("https%3A%2F%2Fwww.webofscience.com%2Fwos%2Fwoscc%2Ffull-record%2FWOS:000244255200006","View Full Record in Web of Science")</f>
        <v>View Full Record in Web of Science</v>
      </c>
    </row>
    <row r="816" spans="1:72" x14ac:dyDescent="0.15">
      <c r="A816" t="s">
        <v>72</v>
      </c>
      <c r="B816" t="s">
        <v>12770</v>
      </c>
      <c r="C816" t="s">
        <v>74</v>
      </c>
      <c r="D816" t="s">
        <v>74</v>
      </c>
      <c r="E816" t="s">
        <v>74</v>
      </c>
      <c r="F816" t="s">
        <v>12771</v>
      </c>
      <c r="G816" t="s">
        <v>74</v>
      </c>
      <c r="H816" t="s">
        <v>74</v>
      </c>
      <c r="I816" t="s">
        <v>12772</v>
      </c>
      <c r="J816" t="s">
        <v>2217</v>
      </c>
      <c r="K816" t="s">
        <v>74</v>
      </c>
      <c r="L816" t="s">
        <v>74</v>
      </c>
      <c r="M816" t="s">
        <v>78</v>
      </c>
      <c r="N816" t="s">
        <v>79</v>
      </c>
      <c r="O816" t="s">
        <v>74</v>
      </c>
      <c r="P816" t="s">
        <v>74</v>
      </c>
      <c r="Q816" t="s">
        <v>74</v>
      </c>
      <c r="R816" t="s">
        <v>74</v>
      </c>
      <c r="S816" t="s">
        <v>74</v>
      </c>
      <c r="T816" t="s">
        <v>74</v>
      </c>
      <c r="U816" t="s">
        <v>12773</v>
      </c>
      <c r="V816" t="s">
        <v>74</v>
      </c>
      <c r="W816" t="s">
        <v>12774</v>
      </c>
      <c r="X816" t="s">
        <v>7181</v>
      </c>
      <c r="Y816" t="s">
        <v>12775</v>
      </c>
      <c r="Z816" t="s">
        <v>12776</v>
      </c>
      <c r="AA816" t="s">
        <v>12777</v>
      </c>
      <c r="AB816" t="s">
        <v>12778</v>
      </c>
      <c r="AC816" t="s">
        <v>74</v>
      </c>
      <c r="AD816" t="s">
        <v>74</v>
      </c>
      <c r="AE816" t="s">
        <v>74</v>
      </c>
      <c r="AF816" t="s">
        <v>74</v>
      </c>
      <c r="AG816">
        <v>13</v>
      </c>
      <c r="AH816">
        <v>24</v>
      </c>
      <c r="AI816">
        <v>26</v>
      </c>
      <c r="AJ816">
        <v>0</v>
      </c>
      <c r="AK816">
        <v>6</v>
      </c>
      <c r="AL816" t="s">
        <v>1503</v>
      </c>
      <c r="AM816" t="s">
        <v>1504</v>
      </c>
      <c r="AN816" t="s">
        <v>1505</v>
      </c>
      <c r="AO816" t="s">
        <v>2218</v>
      </c>
      <c r="AP816" t="s">
        <v>2219</v>
      </c>
      <c r="AQ816" t="s">
        <v>74</v>
      </c>
      <c r="AR816" t="s">
        <v>2220</v>
      </c>
      <c r="AS816" t="s">
        <v>2221</v>
      </c>
      <c r="AT816" t="s">
        <v>11681</v>
      </c>
      <c r="AU816">
        <v>2007</v>
      </c>
      <c r="AV816">
        <v>54</v>
      </c>
      <c r="AW816">
        <v>2</v>
      </c>
      <c r="AX816" t="s">
        <v>74</v>
      </c>
      <c r="AY816" t="s">
        <v>74</v>
      </c>
      <c r="AZ816" t="s">
        <v>74</v>
      </c>
      <c r="BA816" t="s">
        <v>74</v>
      </c>
      <c r="BB816">
        <v>236</v>
      </c>
      <c r="BC816">
        <v>239</v>
      </c>
      <c r="BD816" t="s">
        <v>74</v>
      </c>
      <c r="BE816" t="s">
        <v>12779</v>
      </c>
      <c r="BF816" t="str">
        <f>HYPERLINK("http://dx.doi.org/10.1016/j.marpolbul.2006.11.002","http://dx.doi.org/10.1016/j.marpolbul.2006.11.002")</f>
        <v>http://dx.doi.org/10.1016/j.marpolbul.2006.11.002</v>
      </c>
      <c r="BG816" t="s">
        <v>74</v>
      </c>
      <c r="BH816" t="s">
        <v>74</v>
      </c>
      <c r="BI816">
        <v>4</v>
      </c>
      <c r="BJ816" t="s">
        <v>2222</v>
      </c>
      <c r="BK816" t="s">
        <v>98</v>
      </c>
      <c r="BL816" t="s">
        <v>283</v>
      </c>
      <c r="BM816" t="s">
        <v>12780</v>
      </c>
      <c r="BN816">
        <v>17188308</v>
      </c>
      <c r="BO816" t="s">
        <v>74</v>
      </c>
      <c r="BP816" t="s">
        <v>74</v>
      </c>
      <c r="BQ816" t="s">
        <v>74</v>
      </c>
      <c r="BR816" t="s">
        <v>101</v>
      </c>
      <c r="BS816" t="s">
        <v>12781</v>
      </c>
      <c r="BT816" t="str">
        <f>HYPERLINK("https%3A%2F%2Fwww.webofscience.com%2Fwos%2Fwoscc%2Ffull-record%2FWOS:000244589700024","View Full Record in Web of Science")</f>
        <v>View Full Record in Web of Science</v>
      </c>
    </row>
    <row r="817" spans="1:72" x14ac:dyDescent="0.15">
      <c r="A817" t="s">
        <v>72</v>
      </c>
      <c r="B817" t="s">
        <v>12782</v>
      </c>
      <c r="C817" t="s">
        <v>74</v>
      </c>
      <c r="D817" t="s">
        <v>74</v>
      </c>
      <c r="E817" t="s">
        <v>74</v>
      </c>
      <c r="F817" t="s">
        <v>12783</v>
      </c>
      <c r="G817" t="s">
        <v>74</v>
      </c>
      <c r="H817" t="s">
        <v>74</v>
      </c>
      <c r="I817" t="s">
        <v>12784</v>
      </c>
      <c r="J817" t="s">
        <v>2236</v>
      </c>
      <c r="K817" t="s">
        <v>74</v>
      </c>
      <c r="L817" t="s">
        <v>74</v>
      </c>
      <c r="M817" t="s">
        <v>78</v>
      </c>
      <c r="N817" t="s">
        <v>79</v>
      </c>
      <c r="O817" t="s">
        <v>74</v>
      </c>
      <c r="P817" t="s">
        <v>74</v>
      </c>
      <c r="Q817" t="s">
        <v>74</v>
      </c>
      <c r="R817" t="s">
        <v>74</v>
      </c>
      <c r="S817" t="s">
        <v>74</v>
      </c>
      <c r="T817" t="s">
        <v>74</v>
      </c>
      <c r="U817" t="s">
        <v>12785</v>
      </c>
      <c r="V817" t="s">
        <v>12786</v>
      </c>
      <c r="W817" t="s">
        <v>12787</v>
      </c>
      <c r="X817" t="s">
        <v>12788</v>
      </c>
      <c r="Y817" t="s">
        <v>12789</v>
      </c>
      <c r="Z817" t="s">
        <v>12790</v>
      </c>
      <c r="AA817" t="s">
        <v>74</v>
      </c>
      <c r="AB817" t="s">
        <v>74</v>
      </c>
      <c r="AC817" t="s">
        <v>74</v>
      </c>
      <c r="AD817" t="s">
        <v>74</v>
      </c>
      <c r="AE817" t="s">
        <v>74</v>
      </c>
      <c r="AF817" t="s">
        <v>74</v>
      </c>
      <c r="AG817">
        <v>55</v>
      </c>
      <c r="AH817">
        <v>40</v>
      </c>
      <c r="AI817">
        <v>40</v>
      </c>
      <c r="AJ817">
        <v>0</v>
      </c>
      <c r="AK817">
        <v>8</v>
      </c>
      <c r="AL817" t="s">
        <v>1202</v>
      </c>
      <c r="AM817" t="s">
        <v>1203</v>
      </c>
      <c r="AN817" t="s">
        <v>1204</v>
      </c>
      <c r="AO817" t="s">
        <v>2243</v>
      </c>
      <c r="AP817" t="s">
        <v>2244</v>
      </c>
      <c r="AQ817" t="s">
        <v>74</v>
      </c>
      <c r="AR817" t="s">
        <v>2245</v>
      </c>
      <c r="AS817" t="s">
        <v>2246</v>
      </c>
      <c r="AT817" t="s">
        <v>11681</v>
      </c>
      <c r="AU817">
        <v>2007</v>
      </c>
      <c r="AV817">
        <v>42</v>
      </c>
      <c r="AW817">
        <v>2</v>
      </c>
      <c r="AX817" t="s">
        <v>74</v>
      </c>
      <c r="AY817" t="s">
        <v>74</v>
      </c>
      <c r="AZ817" t="s">
        <v>74</v>
      </c>
      <c r="BA817" t="s">
        <v>74</v>
      </c>
      <c r="BB817">
        <v>223</v>
      </c>
      <c r="BC817">
        <v>233</v>
      </c>
      <c r="BD817" t="s">
        <v>74</v>
      </c>
      <c r="BE817" t="s">
        <v>12791</v>
      </c>
      <c r="BF817" t="str">
        <f>HYPERLINK("http://dx.doi.org/10.1111/j.1945-5100.2007.tb00229.x","http://dx.doi.org/10.1111/j.1945-5100.2007.tb00229.x")</f>
        <v>http://dx.doi.org/10.1111/j.1945-5100.2007.tb00229.x</v>
      </c>
      <c r="BG817" t="s">
        <v>74</v>
      </c>
      <c r="BH817" t="s">
        <v>74</v>
      </c>
      <c r="BI817">
        <v>11</v>
      </c>
      <c r="BJ817" t="s">
        <v>688</v>
      </c>
      <c r="BK817" t="s">
        <v>98</v>
      </c>
      <c r="BL817" t="s">
        <v>688</v>
      </c>
      <c r="BM817" t="s">
        <v>12792</v>
      </c>
      <c r="BN817" t="s">
        <v>74</v>
      </c>
      <c r="BO817" t="s">
        <v>154</v>
      </c>
      <c r="BP817" t="s">
        <v>74</v>
      </c>
      <c r="BQ817" t="s">
        <v>74</v>
      </c>
      <c r="BR817" t="s">
        <v>101</v>
      </c>
      <c r="BS817" t="s">
        <v>12793</v>
      </c>
      <c r="BT817" t="str">
        <f>HYPERLINK("https%3A%2F%2Fwww.webofscience.com%2Fwos%2Fwoscc%2Ffull-record%2FWOS:000244106500006","View Full Record in Web of Science")</f>
        <v>View Full Record in Web of Science</v>
      </c>
    </row>
    <row r="818" spans="1:72" x14ac:dyDescent="0.15">
      <c r="A818" t="s">
        <v>72</v>
      </c>
      <c r="B818" t="s">
        <v>12794</v>
      </c>
      <c r="C818" t="s">
        <v>74</v>
      </c>
      <c r="D818" t="s">
        <v>74</v>
      </c>
      <c r="E818" t="s">
        <v>74</v>
      </c>
      <c r="F818" t="s">
        <v>12795</v>
      </c>
      <c r="G818" t="s">
        <v>74</v>
      </c>
      <c r="H818" t="s">
        <v>74</v>
      </c>
      <c r="I818" t="s">
        <v>12796</v>
      </c>
      <c r="J818" t="s">
        <v>12797</v>
      </c>
      <c r="K818" t="s">
        <v>74</v>
      </c>
      <c r="L818" t="s">
        <v>74</v>
      </c>
      <c r="M818" t="s">
        <v>78</v>
      </c>
      <c r="N818" t="s">
        <v>248</v>
      </c>
      <c r="O818" t="s">
        <v>74</v>
      </c>
      <c r="P818" t="s">
        <v>74</v>
      </c>
      <c r="Q818" t="s">
        <v>74</v>
      </c>
      <c r="R818" t="s">
        <v>74</v>
      </c>
      <c r="S818" t="s">
        <v>74</v>
      </c>
      <c r="T818" t="s">
        <v>12798</v>
      </c>
      <c r="U818" t="s">
        <v>12799</v>
      </c>
      <c r="V818" t="s">
        <v>12800</v>
      </c>
      <c r="W818" t="s">
        <v>12801</v>
      </c>
      <c r="X818" t="s">
        <v>12802</v>
      </c>
      <c r="Y818" t="s">
        <v>12803</v>
      </c>
      <c r="Z818" t="s">
        <v>12804</v>
      </c>
      <c r="AA818" t="s">
        <v>9732</v>
      </c>
      <c r="AB818" t="s">
        <v>9733</v>
      </c>
      <c r="AC818" t="s">
        <v>74</v>
      </c>
      <c r="AD818" t="s">
        <v>74</v>
      </c>
      <c r="AE818" t="s">
        <v>74</v>
      </c>
      <c r="AF818" t="s">
        <v>74</v>
      </c>
      <c r="AG818">
        <v>78</v>
      </c>
      <c r="AH818">
        <v>242</v>
      </c>
      <c r="AI818">
        <v>311</v>
      </c>
      <c r="AJ818">
        <v>14</v>
      </c>
      <c r="AK818">
        <v>97</v>
      </c>
      <c r="AL818" t="s">
        <v>10742</v>
      </c>
      <c r="AM818" t="s">
        <v>10743</v>
      </c>
      <c r="AN818" t="s">
        <v>10744</v>
      </c>
      <c r="AO818" t="s">
        <v>12805</v>
      </c>
      <c r="AP818" t="s">
        <v>12806</v>
      </c>
      <c r="AQ818" t="s">
        <v>74</v>
      </c>
      <c r="AR818" t="s">
        <v>12807</v>
      </c>
      <c r="AS818" t="s">
        <v>12808</v>
      </c>
      <c r="AT818" t="s">
        <v>11681</v>
      </c>
      <c r="AU818">
        <v>2007</v>
      </c>
      <c r="AV818">
        <v>65</v>
      </c>
      <c r="AW818">
        <v>2</v>
      </c>
      <c r="AX818" t="s">
        <v>74</v>
      </c>
      <c r="AY818" t="s">
        <v>74</v>
      </c>
      <c r="AZ818" t="s">
        <v>74</v>
      </c>
      <c r="BA818" t="s">
        <v>74</v>
      </c>
      <c r="BB818">
        <v>63</v>
      </c>
      <c r="BC818">
        <v>77</v>
      </c>
      <c r="BD818" t="s">
        <v>74</v>
      </c>
      <c r="BE818" t="s">
        <v>12809</v>
      </c>
      <c r="BF818" t="str">
        <f>HYPERLINK("http://dx.doi.org/10.1301/nr.2007.feb.63-77","http://dx.doi.org/10.1301/nr.2007.feb.63-77")</f>
        <v>http://dx.doi.org/10.1301/nr.2007.feb.63-77</v>
      </c>
      <c r="BG818" t="s">
        <v>74</v>
      </c>
      <c r="BH818" t="s">
        <v>74</v>
      </c>
      <c r="BI818">
        <v>15</v>
      </c>
      <c r="BJ818" t="s">
        <v>12810</v>
      </c>
      <c r="BK818" t="s">
        <v>98</v>
      </c>
      <c r="BL818" t="s">
        <v>12810</v>
      </c>
      <c r="BM818" t="s">
        <v>12811</v>
      </c>
      <c r="BN818">
        <v>17345959</v>
      </c>
      <c r="BO818" t="s">
        <v>74</v>
      </c>
      <c r="BP818" t="s">
        <v>74</v>
      </c>
      <c r="BQ818" t="s">
        <v>74</v>
      </c>
      <c r="BR818" t="s">
        <v>101</v>
      </c>
      <c r="BS818" t="s">
        <v>12812</v>
      </c>
      <c r="BT818" t="str">
        <f>HYPERLINK("https%3A%2F%2Fwww.webofscience.com%2Fwos%2Fwoscc%2Ffull-record%2FWOS:000244231000002","View Full Record in Web of Science")</f>
        <v>View Full Record in Web of Science</v>
      </c>
    </row>
    <row r="819" spans="1:72" x14ac:dyDescent="0.15">
      <c r="A819" t="s">
        <v>72</v>
      </c>
      <c r="B819" t="s">
        <v>12813</v>
      </c>
      <c r="C819" t="s">
        <v>74</v>
      </c>
      <c r="D819" t="s">
        <v>74</v>
      </c>
      <c r="E819" t="s">
        <v>74</v>
      </c>
      <c r="F819" t="s">
        <v>12814</v>
      </c>
      <c r="G819" t="s">
        <v>74</v>
      </c>
      <c r="H819" t="s">
        <v>74</v>
      </c>
      <c r="I819" t="s">
        <v>12815</v>
      </c>
      <c r="J819" t="s">
        <v>12816</v>
      </c>
      <c r="K819" t="s">
        <v>74</v>
      </c>
      <c r="L819" t="s">
        <v>74</v>
      </c>
      <c r="M819" t="s">
        <v>78</v>
      </c>
      <c r="N819" t="s">
        <v>79</v>
      </c>
      <c r="O819" t="s">
        <v>74</v>
      </c>
      <c r="P819" t="s">
        <v>74</v>
      </c>
      <c r="Q819" t="s">
        <v>74</v>
      </c>
      <c r="R819" t="s">
        <v>74</v>
      </c>
      <c r="S819" t="s">
        <v>74</v>
      </c>
      <c r="T819" t="s">
        <v>12817</v>
      </c>
      <c r="U819" t="s">
        <v>12818</v>
      </c>
      <c r="V819" t="s">
        <v>12819</v>
      </c>
      <c r="W819" t="s">
        <v>12820</v>
      </c>
      <c r="X819" t="s">
        <v>12821</v>
      </c>
      <c r="Y819" t="s">
        <v>12822</v>
      </c>
      <c r="Z819" t="s">
        <v>12823</v>
      </c>
      <c r="AA819" t="s">
        <v>74</v>
      </c>
      <c r="AB819" t="s">
        <v>12824</v>
      </c>
      <c r="AC819" t="s">
        <v>74</v>
      </c>
      <c r="AD819" t="s">
        <v>74</v>
      </c>
      <c r="AE819" t="s">
        <v>74</v>
      </c>
      <c r="AF819" t="s">
        <v>74</v>
      </c>
      <c r="AG819">
        <v>48</v>
      </c>
      <c r="AH819">
        <v>13</v>
      </c>
      <c r="AI819">
        <v>14</v>
      </c>
      <c r="AJ819">
        <v>0</v>
      </c>
      <c r="AK819">
        <v>11</v>
      </c>
      <c r="AL819" t="s">
        <v>2170</v>
      </c>
      <c r="AM819" t="s">
        <v>2171</v>
      </c>
      <c r="AN819" t="s">
        <v>2172</v>
      </c>
      <c r="AO819" t="s">
        <v>12825</v>
      </c>
      <c r="AP819" t="s">
        <v>12826</v>
      </c>
      <c r="AQ819" t="s">
        <v>74</v>
      </c>
      <c r="AR819" t="s">
        <v>12827</v>
      </c>
      <c r="AS819" t="s">
        <v>12828</v>
      </c>
      <c r="AT819" t="s">
        <v>11681</v>
      </c>
      <c r="AU819">
        <v>2007</v>
      </c>
      <c r="AV819">
        <v>57</v>
      </c>
      <c r="AW819">
        <v>1</v>
      </c>
      <c r="AX819" t="s">
        <v>74</v>
      </c>
      <c r="AY819" t="s">
        <v>74</v>
      </c>
      <c r="AZ819" t="s">
        <v>74</v>
      </c>
      <c r="BA819" t="s">
        <v>74</v>
      </c>
      <c r="BB819">
        <v>1</v>
      </c>
      <c r="BC819">
        <v>11</v>
      </c>
      <c r="BD819" t="s">
        <v>74</v>
      </c>
      <c r="BE819" t="s">
        <v>12829</v>
      </c>
      <c r="BF819" t="str">
        <f>HYPERLINK("http://dx.doi.org/10.1007/s10236-006-0073-2","http://dx.doi.org/10.1007/s10236-006-0073-2")</f>
        <v>http://dx.doi.org/10.1007/s10236-006-0073-2</v>
      </c>
      <c r="BG819" t="s">
        <v>74</v>
      </c>
      <c r="BH819" t="s">
        <v>74</v>
      </c>
      <c r="BI819">
        <v>11</v>
      </c>
      <c r="BJ819" t="s">
        <v>221</v>
      </c>
      <c r="BK819" t="s">
        <v>98</v>
      </c>
      <c r="BL819" t="s">
        <v>221</v>
      </c>
      <c r="BM819" t="s">
        <v>12830</v>
      </c>
      <c r="BN819" t="s">
        <v>74</v>
      </c>
      <c r="BO819" t="s">
        <v>1249</v>
      </c>
      <c r="BP819" t="s">
        <v>74</v>
      </c>
      <c r="BQ819" t="s">
        <v>74</v>
      </c>
      <c r="BR819" t="s">
        <v>101</v>
      </c>
      <c r="BS819" t="s">
        <v>12831</v>
      </c>
      <c r="BT819" t="str">
        <f>HYPERLINK("https%3A%2F%2Fwww.webofscience.com%2Fwos%2Fwoscc%2Ffull-record%2FWOS:000244302300001","View Full Record in Web of Science")</f>
        <v>View Full Record in Web of Science</v>
      </c>
    </row>
    <row r="820" spans="1:72" x14ac:dyDescent="0.15">
      <c r="A820" t="s">
        <v>72</v>
      </c>
      <c r="B820" t="s">
        <v>12832</v>
      </c>
      <c r="C820" t="s">
        <v>74</v>
      </c>
      <c r="D820" t="s">
        <v>74</v>
      </c>
      <c r="E820" t="s">
        <v>74</v>
      </c>
      <c r="F820" t="s">
        <v>12833</v>
      </c>
      <c r="G820" t="s">
        <v>74</v>
      </c>
      <c r="H820" t="s">
        <v>74</v>
      </c>
      <c r="I820" t="s">
        <v>12834</v>
      </c>
      <c r="J820" t="s">
        <v>12816</v>
      </c>
      <c r="K820" t="s">
        <v>74</v>
      </c>
      <c r="L820" t="s">
        <v>74</v>
      </c>
      <c r="M820" t="s">
        <v>78</v>
      </c>
      <c r="N820" t="s">
        <v>79</v>
      </c>
      <c r="O820" t="s">
        <v>74</v>
      </c>
      <c r="P820" t="s">
        <v>74</v>
      </c>
      <c r="Q820" t="s">
        <v>74</v>
      </c>
      <c r="R820" t="s">
        <v>74</v>
      </c>
      <c r="S820" t="s">
        <v>74</v>
      </c>
      <c r="T820" t="s">
        <v>12835</v>
      </c>
      <c r="U820" t="s">
        <v>12836</v>
      </c>
      <c r="V820" t="s">
        <v>12837</v>
      </c>
      <c r="W820" t="s">
        <v>6295</v>
      </c>
      <c r="X820" t="s">
        <v>3744</v>
      </c>
      <c r="Y820" t="s">
        <v>12838</v>
      </c>
      <c r="Z820" t="s">
        <v>12839</v>
      </c>
      <c r="AA820" t="s">
        <v>74</v>
      </c>
      <c r="AB820" t="s">
        <v>74</v>
      </c>
      <c r="AC820" t="s">
        <v>74</v>
      </c>
      <c r="AD820" t="s">
        <v>74</v>
      </c>
      <c r="AE820" t="s">
        <v>74</v>
      </c>
      <c r="AF820" t="s">
        <v>74</v>
      </c>
      <c r="AG820">
        <v>46</v>
      </c>
      <c r="AH820">
        <v>10</v>
      </c>
      <c r="AI820">
        <v>11</v>
      </c>
      <c r="AJ820">
        <v>0</v>
      </c>
      <c r="AK820">
        <v>16</v>
      </c>
      <c r="AL820" t="s">
        <v>2170</v>
      </c>
      <c r="AM820" t="s">
        <v>2171</v>
      </c>
      <c r="AN820" t="s">
        <v>2172</v>
      </c>
      <c r="AO820" t="s">
        <v>12825</v>
      </c>
      <c r="AP820" t="s">
        <v>12826</v>
      </c>
      <c r="AQ820" t="s">
        <v>74</v>
      </c>
      <c r="AR820" t="s">
        <v>12827</v>
      </c>
      <c r="AS820" t="s">
        <v>12828</v>
      </c>
      <c r="AT820" t="s">
        <v>11681</v>
      </c>
      <c r="AU820">
        <v>2007</v>
      </c>
      <c r="AV820">
        <v>57</v>
      </c>
      <c r="AW820">
        <v>1</v>
      </c>
      <c r="AX820" t="s">
        <v>74</v>
      </c>
      <c r="AY820" t="s">
        <v>74</v>
      </c>
      <c r="AZ820" t="s">
        <v>74</v>
      </c>
      <c r="BA820" t="s">
        <v>74</v>
      </c>
      <c r="BB820">
        <v>12</v>
      </c>
      <c r="BC820">
        <v>31</v>
      </c>
      <c r="BD820" t="s">
        <v>74</v>
      </c>
      <c r="BE820" t="s">
        <v>12840</v>
      </c>
      <c r="BF820" t="str">
        <f>HYPERLINK("http://dx.doi.org/10.1007/s10236-006-0087-9","http://dx.doi.org/10.1007/s10236-006-0087-9")</f>
        <v>http://dx.doi.org/10.1007/s10236-006-0087-9</v>
      </c>
      <c r="BG820" t="s">
        <v>74</v>
      </c>
      <c r="BH820" t="s">
        <v>74</v>
      </c>
      <c r="BI820">
        <v>20</v>
      </c>
      <c r="BJ820" t="s">
        <v>221</v>
      </c>
      <c r="BK820" t="s">
        <v>98</v>
      </c>
      <c r="BL820" t="s">
        <v>221</v>
      </c>
      <c r="BM820" t="s">
        <v>12830</v>
      </c>
      <c r="BN820" t="s">
        <v>74</v>
      </c>
      <c r="BO820" t="s">
        <v>1249</v>
      </c>
      <c r="BP820" t="s">
        <v>74</v>
      </c>
      <c r="BQ820" t="s">
        <v>74</v>
      </c>
      <c r="BR820" t="s">
        <v>101</v>
      </c>
      <c r="BS820" t="s">
        <v>12841</v>
      </c>
      <c r="BT820" t="str">
        <f>HYPERLINK("https%3A%2F%2Fwww.webofscience.com%2Fwos%2Fwoscc%2Ffull-record%2FWOS:000244302300002","View Full Record in Web of Science")</f>
        <v>View Full Record in Web of Science</v>
      </c>
    </row>
    <row r="821" spans="1:72" x14ac:dyDescent="0.15">
      <c r="A821" t="s">
        <v>72</v>
      </c>
      <c r="B821" t="s">
        <v>12842</v>
      </c>
      <c r="C821" t="s">
        <v>74</v>
      </c>
      <c r="D821" t="s">
        <v>74</v>
      </c>
      <c r="E821" t="s">
        <v>74</v>
      </c>
      <c r="F821" t="s">
        <v>12843</v>
      </c>
      <c r="G821" t="s">
        <v>74</v>
      </c>
      <c r="H821" t="s">
        <v>74</v>
      </c>
      <c r="I821" t="s">
        <v>12844</v>
      </c>
      <c r="J821" t="s">
        <v>2363</v>
      </c>
      <c r="K821" t="s">
        <v>74</v>
      </c>
      <c r="L821" t="s">
        <v>74</v>
      </c>
      <c r="M821" t="s">
        <v>78</v>
      </c>
      <c r="N821" t="s">
        <v>79</v>
      </c>
      <c r="O821" t="s">
        <v>74</v>
      </c>
      <c r="P821" t="s">
        <v>74</v>
      </c>
      <c r="Q821" t="s">
        <v>74</v>
      </c>
      <c r="R821" t="s">
        <v>74</v>
      </c>
      <c r="S821" t="s">
        <v>74</v>
      </c>
      <c r="T821" t="s">
        <v>74</v>
      </c>
      <c r="U821" t="s">
        <v>12845</v>
      </c>
      <c r="V821" t="s">
        <v>12846</v>
      </c>
      <c r="W821" t="s">
        <v>2366</v>
      </c>
      <c r="X821" t="s">
        <v>2367</v>
      </c>
      <c r="Y821" t="s">
        <v>12847</v>
      </c>
      <c r="Z821" t="s">
        <v>74</v>
      </c>
      <c r="AA821" t="s">
        <v>74</v>
      </c>
      <c r="AB821" t="s">
        <v>74</v>
      </c>
      <c r="AC821" t="s">
        <v>74</v>
      </c>
      <c r="AD821" t="s">
        <v>74</v>
      </c>
      <c r="AE821" t="s">
        <v>74</v>
      </c>
      <c r="AF821" t="s">
        <v>74</v>
      </c>
      <c r="AG821">
        <v>34</v>
      </c>
      <c r="AH821">
        <v>1</v>
      </c>
      <c r="AI821">
        <v>1</v>
      </c>
      <c r="AJ821">
        <v>0</v>
      </c>
      <c r="AK821">
        <v>4</v>
      </c>
      <c r="AL821" t="s">
        <v>1677</v>
      </c>
      <c r="AM821" t="s">
        <v>1593</v>
      </c>
      <c r="AN821" t="s">
        <v>1678</v>
      </c>
      <c r="AO821" t="s">
        <v>2372</v>
      </c>
      <c r="AP821" t="s">
        <v>74</v>
      </c>
      <c r="AQ821" t="s">
        <v>74</v>
      </c>
      <c r="AR821" t="s">
        <v>2374</v>
      </c>
      <c r="AS821" t="s">
        <v>2375</v>
      </c>
      <c r="AT821" t="s">
        <v>11681</v>
      </c>
      <c r="AU821">
        <v>2007</v>
      </c>
      <c r="AV821">
        <v>47</v>
      </c>
      <c r="AW821">
        <v>1</v>
      </c>
      <c r="AX821" t="s">
        <v>74</v>
      </c>
      <c r="AY821" t="s">
        <v>74</v>
      </c>
      <c r="AZ821" t="s">
        <v>74</v>
      </c>
      <c r="BA821" t="s">
        <v>74</v>
      </c>
      <c r="BB821">
        <v>42</v>
      </c>
      <c r="BC821">
        <v>50</v>
      </c>
      <c r="BD821" t="s">
        <v>74</v>
      </c>
      <c r="BE821" t="s">
        <v>12848</v>
      </c>
      <c r="BF821" t="str">
        <f>HYPERLINK("http://dx.doi.org/10.1134/S0001437007010079","http://dx.doi.org/10.1134/S0001437007010079")</f>
        <v>http://dx.doi.org/10.1134/S0001437007010079</v>
      </c>
      <c r="BG821" t="s">
        <v>74</v>
      </c>
      <c r="BH821" t="s">
        <v>74</v>
      </c>
      <c r="BI821">
        <v>9</v>
      </c>
      <c r="BJ821" t="s">
        <v>221</v>
      </c>
      <c r="BK821" t="s">
        <v>98</v>
      </c>
      <c r="BL821" t="s">
        <v>221</v>
      </c>
      <c r="BM821" t="s">
        <v>12849</v>
      </c>
      <c r="BN821" t="s">
        <v>74</v>
      </c>
      <c r="BO821" t="s">
        <v>74</v>
      </c>
      <c r="BP821" t="s">
        <v>74</v>
      </c>
      <c r="BQ821" t="s">
        <v>74</v>
      </c>
      <c r="BR821" t="s">
        <v>101</v>
      </c>
      <c r="BS821" t="s">
        <v>12850</v>
      </c>
      <c r="BT821" t="str">
        <f>HYPERLINK("https%3A%2F%2Fwww.webofscience.com%2Fwos%2Fwoscc%2Ffull-record%2FWOS:000244837300007","View Full Record in Web of Science")</f>
        <v>View Full Record in Web of Science</v>
      </c>
    </row>
    <row r="822" spans="1:72" x14ac:dyDescent="0.15">
      <c r="A822" t="s">
        <v>72</v>
      </c>
      <c r="B822" t="s">
        <v>12851</v>
      </c>
      <c r="C822" t="s">
        <v>74</v>
      </c>
      <c r="D822" t="s">
        <v>74</v>
      </c>
      <c r="E822" t="s">
        <v>74</v>
      </c>
      <c r="F822" t="s">
        <v>12852</v>
      </c>
      <c r="G822" t="s">
        <v>74</v>
      </c>
      <c r="H822" t="s">
        <v>74</v>
      </c>
      <c r="I822" t="s">
        <v>12853</v>
      </c>
      <c r="J822" t="s">
        <v>12854</v>
      </c>
      <c r="K822" t="s">
        <v>74</v>
      </c>
      <c r="L822" t="s">
        <v>74</v>
      </c>
      <c r="M822" t="s">
        <v>78</v>
      </c>
      <c r="N822" t="s">
        <v>52</v>
      </c>
      <c r="O822" t="s">
        <v>74</v>
      </c>
      <c r="P822" t="s">
        <v>74</v>
      </c>
      <c r="Q822" t="s">
        <v>74</v>
      </c>
      <c r="R822" t="s">
        <v>74</v>
      </c>
      <c r="S822" t="s">
        <v>74</v>
      </c>
      <c r="T822" t="s">
        <v>74</v>
      </c>
      <c r="U822" t="s">
        <v>74</v>
      </c>
      <c r="V822" t="s">
        <v>74</v>
      </c>
      <c r="W822" t="s">
        <v>12855</v>
      </c>
      <c r="X822" t="s">
        <v>5148</v>
      </c>
      <c r="Y822" t="s">
        <v>74</v>
      </c>
      <c r="Z822" t="s">
        <v>74</v>
      </c>
      <c r="AA822" t="s">
        <v>74</v>
      </c>
      <c r="AB822" t="s">
        <v>74</v>
      </c>
      <c r="AC822" t="s">
        <v>74</v>
      </c>
      <c r="AD822" t="s">
        <v>74</v>
      </c>
      <c r="AE822" t="s">
        <v>74</v>
      </c>
      <c r="AF822" t="s">
        <v>74</v>
      </c>
      <c r="AG822">
        <v>0</v>
      </c>
      <c r="AH822">
        <v>1</v>
      </c>
      <c r="AI822">
        <v>1</v>
      </c>
      <c r="AJ822">
        <v>0</v>
      </c>
      <c r="AK822">
        <v>2</v>
      </c>
      <c r="AL822" t="s">
        <v>1592</v>
      </c>
      <c r="AM822" t="s">
        <v>2052</v>
      </c>
      <c r="AN822" t="s">
        <v>2053</v>
      </c>
      <c r="AO822" t="s">
        <v>12856</v>
      </c>
      <c r="AP822" t="s">
        <v>74</v>
      </c>
      <c r="AQ822" t="s">
        <v>74</v>
      </c>
      <c r="AR822" t="s">
        <v>12857</v>
      </c>
      <c r="AS822" t="s">
        <v>12858</v>
      </c>
      <c r="AT822" t="s">
        <v>12859</v>
      </c>
      <c r="AU822">
        <v>2007</v>
      </c>
      <c r="AV822">
        <v>91</v>
      </c>
      <c r="AW822" t="s">
        <v>2608</v>
      </c>
      <c r="AX822" t="s">
        <v>74</v>
      </c>
      <c r="AY822" t="s">
        <v>74</v>
      </c>
      <c r="AZ822" t="s">
        <v>74</v>
      </c>
      <c r="BA822" t="s">
        <v>12860</v>
      </c>
      <c r="BB822">
        <v>298</v>
      </c>
      <c r="BC822">
        <v>299</v>
      </c>
      <c r="BD822" t="s">
        <v>74</v>
      </c>
      <c r="BE822" t="s">
        <v>74</v>
      </c>
      <c r="BF822" t="s">
        <v>74</v>
      </c>
      <c r="BG822" t="s">
        <v>74</v>
      </c>
      <c r="BH822" t="s">
        <v>74</v>
      </c>
      <c r="BI822">
        <v>2</v>
      </c>
      <c r="BJ822" t="s">
        <v>3433</v>
      </c>
      <c r="BK822" t="s">
        <v>98</v>
      </c>
      <c r="BL822" t="s">
        <v>3433</v>
      </c>
      <c r="BM822" t="s">
        <v>12861</v>
      </c>
      <c r="BN822" t="s">
        <v>74</v>
      </c>
      <c r="BO822" t="s">
        <v>74</v>
      </c>
      <c r="BP822" t="s">
        <v>74</v>
      </c>
      <c r="BQ822" t="s">
        <v>74</v>
      </c>
      <c r="BR822" t="s">
        <v>101</v>
      </c>
      <c r="BS822" t="s">
        <v>12862</v>
      </c>
      <c r="BT822" t="str">
        <f>HYPERLINK("https%3A%2F%2Fwww.webofscience.com%2Fwos%2Fwoscc%2Ffull-record%2FWOS:000248151000626","View Full Record in Web of Science")</f>
        <v>View Full Record in Web of Science</v>
      </c>
    </row>
    <row r="823" spans="1:72" x14ac:dyDescent="0.15">
      <c r="A823" t="s">
        <v>72</v>
      </c>
      <c r="B823" t="s">
        <v>12863</v>
      </c>
      <c r="C823" t="s">
        <v>74</v>
      </c>
      <c r="D823" t="s">
        <v>74</v>
      </c>
      <c r="E823" t="s">
        <v>74</v>
      </c>
      <c r="F823" t="s">
        <v>12864</v>
      </c>
      <c r="G823" t="s">
        <v>74</v>
      </c>
      <c r="H823" t="s">
        <v>74</v>
      </c>
      <c r="I823" t="s">
        <v>12865</v>
      </c>
      <c r="J823" t="s">
        <v>12866</v>
      </c>
      <c r="K823" t="s">
        <v>74</v>
      </c>
      <c r="L823" t="s">
        <v>74</v>
      </c>
      <c r="M823" t="s">
        <v>78</v>
      </c>
      <c r="N823" t="s">
        <v>79</v>
      </c>
      <c r="O823" t="s">
        <v>74</v>
      </c>
      <c r="P823" t="s">
        <v>74</v>
      </c>
      <c r="Q823" t="s">
        <v>74</v>
      </c>
      <c r="R823" t="s">
        <v>74</v>
      </c>
      <c r="S823" t="s">
        <v>74</v>
      </c>
      <c r="T823" t="s">
        <v>12867</v>
      </c>
      <c r="U823" t="s">
        <v>12868</v>
      </c>
      <c r="V823" t="s">
        <v>12869</v>
      </c>
      <c r="W823" t="s">
        <v>12870</v>
      </c>
      <c r="X823" t="s">
        <v>12871</v>
      </c>
      <c r="Y823" t="s">
        <v>11252</v>
      </c>
      <c r="Z823" t="s">
        <v>12872</v>
      </c>
      <c r="AA823" t="s">
        <v>12873</v>
      </c>
      <c r="AB823" t="s">
        <v>12874</v>
      </c>
      <c r="AC823" t="s">
        <v>74</v>
      </c>
      <c r="AD823" t="s">
        <v>74</v>
      </c>
      <c r="AE823" t="s">
        <v>74</v>
      </c>
      <c r="AF823" t="s">
        <v>74</v>
      </c>
      <c r="AG823">
        <v>45</v>
      </c>
      <c r="AH823">
        <v>17</v>
      </c>
      <c r="AI823">
        <v>20</v>
      </c>
      <c r="AJ823">
        <v>0</v>
      </c>
      <c r="AK823">
        <v>3</v>
      </c>
      <c r="AL823" t="s">
        <v>12875</v>
      </c>
      <c r="AM823" t="s">
        <v>12876</v>
      </c>
      <c r="AN823" t="s">
        <v>12877</v>
      </c>
      <c r="AO823" t="s">
        <v>12878</v>
      </c>
      <c r="AP823" t="s">
        <v>12879</v>
      </c>
      <c r="AQ823" t="s">
        <v>74</v>
      </c>
      <c r="AR823" t="s">
        <v>12880</v>
      </c>
      <c r="AS823" t="s">
        <v>12881</v>
      </c>
      <c r="AT823" t="s">
        <v>11681</v>
      </c>
      <c r="AU823">
        <v>2007</v>
      </c>
      <c r="AV823">
        <v>263</v>
      </c>
      <c r="AW823" t="s">
        <v>686</v>
      </c>
      <c r="AX823" t="s">
        <v>74</v>
      </c>
      <c r="AY823" t="s">
        <v>74</v>
      </c>
      <c r="AZ823" t="s">
        <v>74</v>
      </c>
      <c r="BA823" t="s">
        <v>74</v>
      </c>
      <c r="BB823">
        <v>191</v>
      </c>
      <c r="BC823">
        <v>201</v>
      </c>
      <c r="BD823" t="s">
        <v>74</v>
      </c>
      <c r="BE823" t="s">
        <v>12882</v>
      </c>
      <c r="BF823" t="str">
        <f>HYPERLINK("http://dx.doi.org/10.1007/s00606-006-0484-z","http://dx.doi.org/10.1007/s00606-006-0484-z")</f>
        <v>http://dx.doi.org/10.1007/s00606-006-0484-z</v>
      </c>
      <c r="BG823" t="s">
        <v>74</v>
      </c>
      <c r="BH823" t="s">
        <v>74</v>
      </c>
      <c r="BI823">
        <v>11</v>
      </c>
      <c r="BJ823" t="s">
        <v>12883</v>
      </c>
      <c r="BK823" t="s">
        <v>98</v>
      </c>
      <c r="BL823" t="s">
        <v>12883</v>
      </c>
      <c r="BM823" t="s">
        <v>12884</v>
      </c>
      <c r="BN823" t="s">
        <v>74</v>
      </c>
      <c r="BO823" t="s">
        <v>74</v>
      </c>
      <c r="BP823" t="s">
        <v>74</v>
      </c>
      <c r="BQ823" t="s">
        <v>74</v>
      </c>
      <c r="BR823" t="s">
        <v>101</v>
      </c>
      <c r="BS823" t="s">
        <v>12885</v>
      </c>
      <c r="BT823" t="str">
        <f>HYPERLINK("https%3A%2F%2Fwww.webofscience.com%2Fwos%2Fwoscc%2Ffull-record%2FWOS:000243926800005","View Full Record in Web of Science")</f>
        <v>View Full Record in Web of Science</v>
      </c>
    </row>
    <row r="824" spans="1:72" x14ac:dyDescent="0.15">
      <c r="A824" t="s">
        <v>72</v>
      </c>
      <c r="B824" t="s">
        <v>12886</v>
      </c>
      <c r="C824" t="s">
        <v>74</v>
      </c>
      <c r="D824" t="s">
        <v>74</v>
      </c>
      <c r="E824" t="s">
        <v>74</v>
      </c>
      <c r="F824" t="s">
        <v>12887</v>
      </c>
      <c r="G824" t="s">
        <v>74</v>
      </c>
      <c r="H824" t="s">
        <v>74</v>
      </c>
      <c r="I824" t="s">
        <v>12888</v>
      </c>
      <c r="J824" t="s">
        <v>2434</v>
      </c>
      <c r="K824" t="s">
        <v>74</v>
      </c>
      <c r="L824" t="s">
        <v>74</v>
      </c>
      <c r="M824" t="s">
        <v>78</v>
      </c>
      <c r="N824" t="s">
        <v>79</v>
      </c>
      <c r="O824" t="s">
        <v>74</v>
      </c>
      <c r="P824" t="s">
        <v>74</v>
      </c>
      <c r="Q824" t="s">
        <v>74</v>
      </c>
      <c r="R824" t="s">
        <v>74</v>
      </c>
      <c r="S824" t="s">
        <v>74</v>
      </c>
      <c r="T824" t="s">
        <v>12889</v>
      </c>
      <c r="U824" t="s">
        <v>12890</v>
      </c>
      <c r="V824" t="s">
        <v>12891</v>
      </c>
      <c r="W824" t="s">
        <v>12892</v>
      </c>
      <c r="X824" t="s">
        <v>12893</v>
      </c>
      <c r="Y824" t="s">
        <v>12894</v>
      </c>
      <c r="Z824" t="s">
        <v>12895</v>
      </c>
      <c r="AA824" t="s">
        <v>12896</v>
      </c>
      <c r="AB824" t="s">
        <v>12897</v>
      </c>
      <c r="AC824" t="s">
        <v>74</v>
      </c>
      <c r="AD824" t="s">
        <v>74</v>
      </c>
      <c r="AE824" t="s">
        <v>74</v>
      </c>
      <c r="AF824" t="s">
        <v>74</v>
      </c>
      <c r="AG824">
        <v>23</v>
      </c>
      <c r="AH824">
        <v>5</v>
      </c>
      <c r="AI824">
        <v>7</v>
      </c>
      <c r="AJ824">
        <v>1</v>
      </c>
      <c r="AK824">
        <v>6</v>
      </c>
      <c r="AL824" t="s">
        <v>1592</v>
      </c>
      <c r="AM824" t="s">
        <v>1593</v>
      </c>
      <c r="AN824" t="s">
        <v>2406</v>
      </c>
      <c r="AO824" t="s">
        <v>2442</v>
      </c>
      <c r="AP824" t="s">
        <v>74</v>
      </c>
      <c r="AQ824" t="s">
        <v>74</v>
      </c>
      <c r="AR824" t="s">
        <v>2444</v>
      </c>
      <c r="AS824" t="s">
        <v>2445</v>
      </c>
      <c r="AT824" t="s">
        <v>11681</v>
      </c>
      <c r="AU824">
        <v>2007</v>
      </c>
      <c r="AV824">
        <v>30</v>
      </c>
      <c r="AW824">
        <v>3</v>
      </c>
      <c r="AX824" t="s">
        <v>74</v>
      </c>
      <c r="AY824" t="s">
        <v>74</v>
      </c>
      <c r="AZ824" t="s">
        <v>74</v>
      </c>
      <c r="BA824" t="s">
        <v>74</v>
      </c>
      <c r="BB824">
        <v>253</v>
      </c>
      <c r="BC824">
        <v>260</v>
      </c>
      <c r="BD824" t="s">
        <v>74</v>
      </c>
      <c r="BE824" t="s">
        <v>12898</v>
      </c>
      <c r="BF824" t="str">
        <f>HYPERLINK("http://dx.doi.org/10.1007/s00300-006-0240-4","http://dx.doi.org/10.1007/s00300-006-0240-4")</f>
        <v>http://dx.doi.org/10.1007/s00300-006-0240-4</v>
      </c>
      <c r="BG824" t="s">
        <v>74</v>
      </c>
      <c r="BH824" t="s">
        <v>74</v>
      </c>
      <c r="BI824">
        <v>8</v>
      </c>
      <c r="BJ824" t="s">
        <v>97</v>
      </c>
      <c r="BK824" t="s">
        <v>98</v>
      </c>
      <c r="BL824" t="s">
        <v>99</v>
      </c>
      <c r="BM824" t="s">
        <v>12899</v>
      </c>
      <c r="BN824" t="s">
        <v>74</v>
      </c>
      <c r="BO824" t="s">
        <v>74</v>
      </c>
      <c r="BP824" t="s">
        <v>74</v>
      </c>
      <c r="BQ824" t="s">
        <v>74</v>
      </c>
      <c r="BR824" t="s">
        <v>101</v>
      </c>
      <c r="BS824" t="s">
        <v>12900</v>
      </c>
      <c r="BT824" t="str">
        <f>HYPERLINK("https%3A%2F%2Fwww.webofscience.com%2Fwos%2Fwoscc%2Ffull-record%2FWOS:000244212700001","View Full Record in Web of Science")</f>
        <v>View Full Record in Web of Science</v>
      </c>
    </row>
    <row r="825" spans="1:72" x14ac:dyDescent="0.15">
      <c r="A825" t="s">
        <v>72</v>
      </c>
      <c r="B825" t="s">
        <v>12901</v>
      </c>
      <c r="C825" t="s">
        <v>74</v>
      </c>
      <c r="D825" t="s">
        <v>74</v>
      </c>
      <c r="E825" t="s">
        <v>74</v>
      </c>
      <c r="F825" t="s">
        <v>12902</v>
      </c>
      <c r="G825" t="s">
        <v>74</v>
      </c>
      <c r="H825" t="s">
        <v>74</v>
      </c>
      <c r="I825" t="s">
        <v>12903</v>
      </c>
      <c r="J825" t="s">
        <v>2434</v>
      </c>
      <c r="K825" t="s">
        <v>74</v>
      </c>
      <c r="L825" t="s">
        <v>74</v>
      </c>
      <c r="M825" t="s">
        <v>78</v>
      </c>
      <c r="N825" t="s">
        <v>79</v>
      </c>
      <c r="O825" t="s">
        <v>74</v>
      </c>
      <c r="P825" t="s">
        <v>74</v>
      </c>
      <c r="Q825" t="s">
        <v>74</v>
      </c>
      <c r="R825" t="s">
        <v>74</v>
      </c>
      <c r="S825" t="s">
        <v>74</v>
      </c>
      <c r="T825" t="s">
        <v>74</v>
      </c>
      <c r="U825" t="s">
        <v>12904</v>
      </c>
      <c r="V825" t="s">
        <v>12905</v>
      </c>
      <c r="W825" t="s">
        <v>12906</v>
      </c>
      <c r="X825" t="s">
        <v>12907</v>
      </c>
      <c r="Y825" t="s">
        <v>12908</v>
      </c>
      <c r="Z825" t="s">
        <v>12909</v>
      </c>
      <c r="AA825" t="s">
        <v>74</v>
      </c>
      <c r="AB825" t="s">
        <v>74</v>
      </c>
      <c r="AC825" t="s">
        <v>74</v>
      </c>
      <c r="AD825" t="s">
        <v>74</v>
      </c>
      <c r="AE825" t="s">
        <v>74</v>
      </c>
      <c r="AF825" t="s">
        <v>74</v>
      </c>
      <c r="AG825">
        <v>31</v>
      </c>
      <c r="AH825">
        <v>8</v>
      </c>
      <c r="AI825">
        <v>12</v>
      </c>
      <c r="AJ825">
        <v>0</v>
      </c>
      <c r="AK825">
        <v>5</v>
      </c>
      <c r="AL825" t="s">
        <v>1592</v>
      </c>
      <c r="AM825" t="s">
        <v>1593</v>
      </c>
      <c r="AN825" t="s">
        <v>2512</v>
      </c>
      <c r="AO825" t="s">
        <v>2442</v>
      </c>
      <c r="AP825" t="s">
        <v>74</v>
      </c>
      <c r="AQ825" t="s">
        <v>74</v>
      </c>
      <c r="AR825" t="s">
        <v>2444</v>
      </c>
      <c r="AS825" t="s">
        <v>2445</v>
      </c>
      <c r="AT825" t="s">
        <v>11681</v>
      </c>
      <c r="AU825">
        <v>2007</v>
      </c>
      <c r="AV825">
        <v>30</v>
      </c>
      <c r="AW825">
        <v>3</v>
      </c>
      <c r="AX825" t="s">
        <v>74</v>
      </c>
      <c r="AY825" t="s">
        <v>74</v>
      </c>
      <c r="AZ825" t="s">
        <v>74</v>
      </c>
      <c r="BA825" t="s">
        <v>74</v>
      </c>
      <c r="BB825">
        <v>307</v>
      </c>
      <c r="BC825">
        <v>315</v>
      </c>
      <c r="BD825" t="s">
        <v>74</v>
      </c>
      <c r="BE825" t="s">
        <v>12910</v>
      </c>
      <c r="BF825" t="str">
        <f>HYPERLINK("http://dx.doi.org/10.1007/s00300-006-0184-8","http://dx.doi.org/10.1007/s00300-006-0184-8")</f>
        <v>http://dx.doi.org/10.1007/s00300-006-0184-8</v>
      </c>
      <c r="BG825" t="s">
        <v>74</v>
      </c>
      <c r="BH825" t="s">
        <v>74</v>
      </c>
      <c r="BI825">
        <v>9</v>
      </c>
      <c r="BJ825" t="s">
        <v>97</v>
      </c>
      <c r="BK825" t="s">
        <v>98</v>
      </c>
      <c r="BL825" t="s">
        <v>99</v>
      </c>
      <c r="BM825" t="s">
        <v>12899</v>
      </c>
      <c r="BN825" t="s">
        <v>74</v>
      </c>
      <c r="BO825" t="s">
        <v>74</v>
      </c>
      <c r="BP825" t="s">
        <v>74</v>
      </c>
      <c r="BQ825" t="s">
        <v>74</v>
      </c>
      <c r="BR825" t="s">
        <v>101</v>
      </c>
      <c r="BS825" t="s">
        <v>12911</v>
      </c>
      <c r="BT825" t="str">
        <f>HYPERLINK("https%3A%2F%2Fwww.webofscience.com%2Fwos%2Fwoscc%2Ffull-record%2FWOS:000244212700006","View Full Record in Web of Science")</f>
        <v>View Full Record in Web of Science</v>
      </c>
    </row>
    <row r="826" spans="1:72" x14ac:dyDescent="0.15">
      <c r="A826" t="s">
        <v>72</v>
      </c>
      <c r="B826" t="s">
        <v>12912</v>
      </c>
      <c r="C826" t="s">
        <v>74</v>
      </c>
      <c r="D826" t="s">
        <v>74</v>
      </c>
      <c r="E826" t="s">
        <v>74</v>
      </c>
      <c r="F826" t="s">
        <v>12913</v>
      </c>
      <c r="G826" t="s">
        <v>74</v>
      </c>
      <c r="H826" t="s">
        <v>74</v>
      </c>
      <c r="I826" t="s">
        <v>12914</v>
      </c>
      <c r="J826" t="s">
        <v>2434</v>
      </c>
      <c r="K826" t="s">
        <v>74</v>
      </c>
      <c r="L826" t="s">
        <v>74</v>
      </c>
      <c r="M826" t="s">
        <v>78</v>
      </c>
      <c r="N826" t="s">
        <v>79</v>
      </c>
      <c r="O826" t="s">
        <v>74</v>
      </c>
      <c r="P826" t="s">
        <v>74</v>
      </c>
      <c r="Q826" t="s">
        <v>74</v>
      </c>
      <c r="R826" t="s">
        <v>74</v>
      </c>
      <c r="S826" t="s">
        <v>74</v>
      </c>
      <c r="T826" t="s">
        <v>12915</v>
      </c>
      <c r="U826" t="s">
        <v>12916</v>
      </c>
      <c r="V826" t="s">
        <v>12917</v>
      </c>
      <c r="W826" t="s">
        <v>12918</v>
      </c>
      <c r="X826" t="s">
        <v>2494</v>
      </c>
      <c r="Y826" t="s">
        <v>12919</v>
      </c>
      <c r="Z826" t="s">
        <v>11046</v>
      </c>
      <c r="AA826" t="s">
        <v>12920</v>
      </c>
      <c r="AB826" t="s">
        <v>12921</v>
      </c>
      <c r="AC826" t="s">
        <v>74</v>
      </c>
      <c r="AD826" t="s">
        <v>74</v>
      </c>
      <c r="AE826" t="s">
        <v>74</v>
      </c>
      <c r="AF826" t="s">
        <v>74</v>
      </c>
      <c r="AG826">
        <v>39</v>
      </c>
      <c r="AH826">
        <v>18</v>
      </c>
      <c r="AI826">
        <v>20</v>
      </c>
      <c r="AJ826">
        <v>0</v>
      </c>
      <c r="AK826">
        <v>16</v>
      </c>
      <c r="AL826" t="s">
        <v>1592</v>
      </c>
      <c r="AM826" t="s">
        <v>1593</v>
      </c>
      <c r="AN826" t="s">
        <v>2406</v>
      </c>
      <c r="AO826" t="s">
        <v>2442</v>
      </c>
      <c r="AP826" t="s">
        <v>2443</v>
      </c>
      <c r="AQ826" t="s">
        <v>74</v>
      </c>
      <c r="AR826" t="s">
        <v>2444</v>
      </c>
      <c r="AS826" t="s">
        <v>2445</v>
      </c>
      <c r="AT826" t="s">
        <v>11681</v>
      </c>
      <c r="AU826">
        <v>2007</v>
      </c>
      <c r="AV826">
        <v>30</v>
      </c>
      <c r="AW826">
        <v>3</v>
      </c>
      <c r="AX826" t="s">
        <v>74</v>
      </c>
      <c r="AY826" t="s">
        <v>74</v>
      </c>
      <c r="AZ826" t="s">
        <v>74</v>
      </c>
      <c r="BA826" t="s">
        <v>74</v>
      </c>
      <c r="BB826">
        <v>327</v>
      </c>
      <c r="BC826">
        <v>332</v>
      </c>
      <c r="BD826" t="s">
        <v>74</v>
      </c>
      <c r="BE826" t="s">
        <v>12922</v>
      </c>
      <c r="BF826" t="str">
        <f>HYPERLINK("http://dx.doi.org/10.1007/s00300-006-0188-4","http://dx.doi.org/10.1007/s00300-006-0188-4")</f>
        <v>http://dx.doi.org/10.1007/s00300-006-0188-4</v>
      </c>
      <c r="BG826" t="s">
        <v>74</v>
      </c>
      <c r="BH826" t="s">
        <v>74</v>
      </c>
      <c r="BI826">
        <v>6</v>
      </c>
      <c r="BJ826" t="s">
        <v>97</v>
      </c>
      <c r="BK826" t="s">
        <v>98</v>
      </c>
      <c r="BL826" t="s">
        <v>99</v>
      </c>
      <c r="BM826" t="s">
        <v>12899</v>
      </c>
      <c r="BN826" t="s">
        <v>74</v>
      </c>
      <c r="BO826" t="s">
        <v>74</v>
      </c>
      <c r="BP826" t="s">
        <v>74</v>
      </c>
      <c r="BQ826" t="s">
        <v>74</v>
      </c>
      <c r="BR826" t="s">
        <v>101</v>
      </c>
      <c r="BS826" t="s">
        <v>12923</v>
      </c>
      <c r="BT826" t="str">
        <f>HYPERLINK("https%3A%2F%2Fwww.webofscience.com%2Fwos%2Fwoscc%2Ffull-record%2FWOS:000244212700009","View Full Record in Web of Science")</f>
        <v>View Full Record in Web of Science</v>
      </c>
    </row>
    <row r="827" spans="1:72" x14ac:dyDescent="0.15">
      <c r="A827" t="s">
        <v>72</v>
      </c>
      <c r="B827" t="s">
        <v>12924</v>
      </c>
      <c r="C827" t="s">
        <v>74</v>
      </c>
      <c r="D827" t="s">
        <v>74</v>
      </c>
      <c r="E827" t="s">
        <v>74</v>
      </c>
      <c r="F827" t="s">
        <v>12925</v>
      </c>
      <c r="G827" t="s">
        <v>74</v>
      </c>
      <c r="H827" t="s">
        <v>74</v>
      </c>
      <c r="I827" t="s">
        <v>12926</v>
      </c>
      <c r="J827" t="s">
        <v>2434</v>
      </c>
      <c r="K827" t="s">
        <v>74</v>
      </c>
      <c r="L827" t="s">
        <v>74</v>
      </c>
      <c r="M827" t="s">
        <v>78</v>
      </c>
      <c r="N827" t="s">
        <v>79</v>
      </c>
      <c r="O827" t="s">
        <v>74</v>
      </c>
      <c r="P827" t="s">
        <v>74</v>
      </c>
      <c r="Q827" t="s">
        <v>74</v>
      </c>
      <c r="R827" t="s">
        <v>74</v>
      </c>
      <c r="S827" t="s">
        <v>74</v>
      </c>
      <c r="T827" t="s">
        <v>74</v>
      </c>
      <c r="U827" t="s">
        <v>12927</v>
      </c>
      <c r="V827" t="s">
        <v>12928</v>
      </c>
      <c r="W827" t="s">
        <v>12929</v>
      </c>
      <c r="X827" t="s">
        <v>12930</v>
      </c>
      <c r="Y827" t="s">
        <v>12931</v>
      </c>
      <c r="Z827" t="s">
        <v>12932</v>
      </c>
      <c r="AA827" t="s">
        <v>74</v>
      </c>
      <c r="AB827" t="s">
        <v>74</v>
      </c>
      <c r="AC827" t="s">
        <v>74</v>
      </c>
      <c r="AD827" t="s">
        <v>74</v>
      </c>
      <c r="AE827" t="s">
        <v>74</v>
      </c>
      <c r="AF827" t="s">
        <v>74</v>
      </c>
      <c r="AG827">
        <v>58</v>
      </c>
      <c r="AH827">
        <v>30</v>
      </c>
      <c r="AI827">
        <v>30</v>
      </c>
      <c r="AJ827">
        <v>0</v>
      </c>
      <c r="AK827">
        <v>3</v>
      </c>
      <c r="AL827" t="s">
        <v>1592</v>
      </c>
      <c r="AM827" t="s">
        <v>1593</v>
      </c>
      <c r="AN827" t="s">
        <v>2406</v>
      </c>
      <c r="AO827" t="s">
        <v>2442</v>
      </c>
      <c r="AP827" t="s">
        <v>74</v>
      </c>
      <c r="AQ827" t="s">
        <v>74</v>
      </c>
      <c r="AR827" t="s">
        <v>2444</v>
      </c>
      <c r="AS827" t="s">
        <v>2445</v>
      </c>
      <c r="AT827" t="s">
        <v>11681</v>
      </c>
      <c r="AU827">
        <v>2007</v>
      </c>
      <c r="AV827">
        <v>30</v>
      </c>
      <c r="AW827">
        <v>3</v>
      </c>
      <c r="AX827" t="s">
        <v>74</v>
      </c>
      <c r="AY827" t="s">
        <v>74</v>
      </c>
      <c r="AZ827" t="s">
        <v>74</v>
      </c>
      <c r="BA827" t="s">
        <v>74</v>
      </c>
      <c r="BB827">
        <v>333</v>
      </c>
      <c r="BC827">
        <v>341</v>
      </c>
      <c r="BD827" t="s">
        <v>74</v>
      </c>
      <c r="BE827" t="s">
        <v>12933</v>
      </c>
      <c r="BF827" t="str">
        <f>HYPERLINK("http://dx.doi.org/10.1007/s00300-006-0189-3","http://dx.doi.org/10.1007/s00300-006-0189-3")</f>
        <v>http://dx.doi.org/10.1007/s00300-006-0189-3</v>
      </c>
      <c r="BG827" t="s">
        <v>74</v>
      </c>
      <c r="BH827" t="s">
        <v>74</v>
      </c>
      <c r="BI827">
        <v>9</v>
      </c>
      <c r="BJ827" t="s">
        <v>97</v>
      </c>
      <c r="BK827" t="s">
        <v>98</v>
      </c>
      <c r="BL827" t="s">
        <v>99</v>
      </c>
      <c r="BM827" t="s">
        <v>12899</v>
      </c>
      <c r="BN827" t="s">
        <v>74</v>
      </c>
      <c r="BO827" t="s">
        <v>74</v>
      </c>
      <c r="BP827" t="s">
        <v>74</v>
      </c>
      <c r="BQ827" t="s">
        <v>74</v>
      </c>
      <c r="BR827" t="s">
        <v>101</v>
      </c>
      <c r="BS827" t="s">
        <v>12934</v>
      </c>
      <c r="BT827" t="str">
        <f>HYPERLINK("https%3A%2F%2Fwww.webofscience.com%2Fwos%2Fwoscc%2Ffull-record%2FWOS:000244212700010","View Full Record in Web of Science")</f>
        <v>View Full Record in Web of Science</v>
      </c>
    </row>
    <row r="828" spans="1:72" x14ac:dyDescent="0.15">
      <c r="A828" t="s">
        <v>72</v>
      </c>
      <c r="B828" t="s">
        <v>12935</v>
      </c>
      <c r="C828" t="s">
        <v>74</v>
      </c>
      <c r="D828" t="s">
        <v>74</v>
      </c>
      <c r="E828" t="s">
        <v>74</v>
      </c>
      <c r="F828" t="s">
        <v>12936</v>
      </c>
      <c r="G828" t="s">
        <v>74</v>
      </c>
      <c r="H828" t="s">
        <v>74</v>
      </c>
      <c r="I828" t="s">
        <v>12937</v>
      </c>
      <c r="J828" t="s">
        <v>2434</v>
      </c>
      <c r="K828" t="s">
        <v>74</v>
      </c>
      <c r="L828" t="s">
        <v>74</v>
      </c>
      <c r="M828" t="s">
        <v>78</v>
      </c>
      <c r="N828" t="s">
        <v>79</v>
      </c>
      <c r="O828" t="s">
        <v>74</v>
      </c>
      <c r="P828" t="s">
        <v>74</v>
      </c>
      <c r="Q828" t="s">
        <v>74</v>
      </c>
      <c r="R828" t="s">
        <v>74</v>
      </c>
      <c r="S828" t="s">
        <v>74</v>
      </c>
      <c r="T828" t="s">
        <v>74</v>
      </c>
      <c r="U828" t="s">
        <v>12938</v>
      </c>
      <c r="V828" t="s">
        <v>12939</v>
      </c>
      <c r="W828" t="s">
        <v>12940</v>
      </c>
      <c r="X828" t="s">
        <v>12941</v>
      </c>
      <c r="Y828" t="s">
        <v>12942</v>
      </c>
      <c r="Z828" t="s">
        <v>12943</v>
      </c>
      <c r="AA828" t="s">
        <v>12944</v>
      </c>
      <c r="AB828" t="s">
        <v>12945</v>
      </c>
      <c r="AC828" t="s">
        <v>74</v>
      </c>
      <c r="AD828" t="s">
        <v>74</v>
      </c>
      <c r="AE828" t="s">
        <v>74</v>
      </c>
      <c r="AF828" t="s">
        <v>74</v>
      </c>
      <c r="AG828">
        <v>37</v>
      </c>
      <c r="AH828">
        <v>15</v>
      </c>
      <c r="AI828">
        <v>16</v>
      </c>
      <c r="AJ828">
        <v>0</v>
      </c>
      <c r="AK828">
        <v>5</v>
      </c>
      <c r="AL828" t="s">
        <v>1592</v>
      </c>
      <c r="AM828" t="s">
        <v>1593</v>
      </c>
      <c r="AN828" t="s">
        <v>2406</v>
      </c>
      <c r="AO828" t="s">
        <v>2442</v>
      </c>
      <c r="AP828" t="s">
        <v>74</v>
      </c>
      <c r="AQ828" t="s">
        <v>74</v>
      </c>
      <c r="AR828" t="s">
        <v>2444</v>
      </c>
      <c r="AS828" t="s">
        <v>2445</v>
      </c>
      <c r="AT828" t="s">
        <v>11681</v>
      </c>
      <c r="AU828">
        <v>2007</v>
      </c>
      <c r="AV828">
        <v>30</v>
      </c>
      <c r="AW828">
        <v>3</v>
      </c>
      <c r="AX828" t="s">
        <v>74</v>
      </c>
      <c r="AY828" t="s">
        <v>74</v>
      </c>
      <c r="AZ828" t="s">
        <v>74</v>
      </c>
      <c r="BA828" t="s">
        <v>74</v>
      </c>
      <c r="BB828">
        <v>343</v>
      </c>
      <c r="BC828">
        <v>350</v>
      </c>
      <c r="BD828" t="s">
        <v>74</v>
      </c>
      <c r="BE828" t="s">
        <v>12946</v>
      </c>
      <c r="BF828" t="str">
        <f>HYPERLINK("http://dx.doi.org/10.1007/s00300-006-0190-x","http://dx.doi.org/10.1007/s00300-006-0190-x")</f>
        <v>http://dx.doi.org/10.1007/s00300-006-0190-x</v>
      </c>
      <c r="BG828" t="s">
        <v>74</v>
      </c>
      <c r="BH828" t="s">
        <v>74</v>
      </c>
      <c r="BI828">
        <v>8</v>
      </c>
      <c r="BJ828" t="s">
        <v>97</v>
      </c>
      <c r="BK828" t="s">
        <v>98</v>
      </c>
      <c r="BL828" t="s">
        <v>99</v>
      </c>
      <c r="BM828" t="s">
        <v>12899</v>
      </c>
      <c r="BN828" t="s">
        <v>74</v>
      </c>
      <c r="BO828" t="s">
        <v>74</v>
      </c>
      <c r="BP828" t="s">
        <v>74</v>
      </c>
      <c r="BQ828" t="s">
        <v>74</v>
      </c>
      <c r="BR828" t="s">
        <v>101</v>
      </c>
      <c r="BS828" t="s">
        <v>12947</v>
      </c>
      <c r="BT828" t="str">
        <f>HYPERLINK("https%3A%2F%2Fwww.webofscience.com%2Fwos%2Fwoscc%2Ffull-record%2FWOS:000244212700011","View Full Record in Web of Science")</f>
        <v>View Full Record in Web of Science</v>
      </c>
    </row>
    <row r="829" spans="1:72" x14ac:dyDescent="0.15">
      <c r="A829" t="s">
        <v>72</v>
      </c>
      <c r="B829" t="s">
        <v>12948</v>
      </c>
      <c r="C829" t="s">
        <v>74</v>
      </c>
      <c r="D829" t="s">
        <v>74</v>
      </c>
      <c r="E829" t="s">
        <v>74</v>
      </c>
      <c r="F829" t="s">
        <v>12949</v>
      </c>
      <c r="G829" t="s">
        <v>74</v>
      </c>
      <c r="H829" t="s">
        <v>74</v>
      </c>
      <c r="I829" t="s">
        <v>12950</v>
      </c>
      <c r="J829" t="s">
        <v>2434</v>
      </c>
      <c r="K829" t="s">
        <v>74</v>
      </c>
      <c r="L829" t="s">
        <v>74</v>
      </c>
      <c r="M829" t="s">
        <v>78</v>
      </c>
      <c r="N829" t="s">
        <v>79</v>
      </c>
      <c r="O829" t="s">
        <v>74</v>
      </c>
      <c r="P829" t="s">
        <v>74</v>
      </c>
      <c r="Q829" t="s">
        <v>74</v>
      </c>
      <c r="R829" t="s">
        <v>74</v>
      </c>
      <c r="S829" t="s">
        <v>74</v>
      </c>
      <c r="T829" t="s">
        <v>12951</v>
      </c>
      <c r="U829" t="s">
        <v>12952</v>
      </c>
      <c r="V829" t="s">
        <v>12953</v>
      </c>
      <c r="W829" t="s">
        <v>12954</v>
      </c>
      <c r="X829" t="s">
        <v>12955</v>
      </c>
      <c r="Y829" t="s">
        <v>12956</v>
      </c>
      <c r="Z829" t="s">
        <v>12957</v>
      </c>
      <c r="AA829" t="s">
        <v>74</v>
      </c>
      <c r="AB829" t="s">
        <v>74</v>
      </c>
      <c r="AC829" t="s">
        <v>74</v>
      </c>
      <c r="AD829" t="s">
        <v>74</v>
      </c>
      <c r="AE829" t="s">
        <v>74</v>
      </c>
      <c r="AF829" t="s">
        <v>74</v>
      </c>
      <c r="AG829">
        <v>44</v>
      </c>
      <c r="AH829">
        <v>51</v>
      </c>
      <c r="AI829">
        <v>64</v>
      </c>
      <c r="AJ829">
        <v>1</v>
      </c>
      <c r="AK829">
        <v>18</v>
      </c>
      <c r="AL829" t="s">
        <v>1592</v>
      </c>
      <c r="AM829" t="s">
        <v>1593</v>
      </c>
      <c r="AN829" t="s">
        <v>2512</v>
      </c>
      <c r="AO829" t="s">
        <v>2442</v>
      </c>
      <c r="AP829" t="s">
        <v>74</v>
      </c>
      <c r="AQ829" t="s">
        <v>74</v>
      </c>
      <c r="AR829" t="s">
        <v>2444</v>
      </c>
      <c r="AS829" t="s">
        <v>2445</v>
      </c>
      <c r="AT829" t="s">
        <v>11681</v>
      </c>
      <c r="AU829">
        <v>2007</v>
      </c>
      <c r="AV829">
        <v>30</v>
      </c>
      <c r="AW829">
        <v>3</v>
      </c>
      <c r="AX829" t="s">
        <v>74</v>
      </c>
      <c r="AY829" t="s">
        <v>74</v>
      </c>
      <c r="AZ829" t="s">
        <v>74</v>
      </c>
      <c r="BA829" t="s">
        <v>74</v>
      </c>
      <c r="BB829">
        <v>351</v>
      </c>
      <c r="BC829">
        <v>358</v>
      </c>
      <c r="BD829" t="s">
        <v>74</v>
      </c>
      <c r="BE829" t="s">
        <v>12958</v>
      </c>
      <c r="BF829" t="str">
        <f>HYPERLINK("http://dx.doi.org/10.1007/s00300-006-0191-9","http://dx.doi.org/10.1007/s00300-006-0191-9")</f>
        <v>http://dx.doi.org/10.1007/s00300-006-0191-9</v>
      </c>
      <c r="BG829" t="s">
        <v>74</v>
      </c>
      <c r="BH829" t="s">
        <v>74</v>
      </c>
      <c r="BI829">
        <v>8</v>
      </c>
      <c r="BJ829" t="s">
        <v>97</v>
      </c>
      <c r="BK829" t="s">
        <v>98</v>
      </c>
      <c r="BL829" t="s">
        <v>99</v>
      </c>
      <c r="BM829" t="s">
        <v>12899</v>
      </c>
      <c r="BN829" t="s">
        <v>74</v>
      </c>
      <c r="BO829" t="s">
        <v>223</v>
      </c>
      <c r="BP829" t="s">
        <v>74</v>
      </c>
      <c r="BQ829" t="s">
        <v>74</v>
      </c>
      <c r="BR829" t="s">
        <v>101</v>
      </c>
      <c r="BS829" t="s">
        <v>12959</v>
      </c>
      <c r="BT829" t="str">
        <f>HYPERLINK("https%3A%2F%2Fwww.webofscience.com%2Fwos%2Fwoscc%2Ffull-record%2FWOS:000244212700012","View Full Record in Web of Science")</f>
        <v>View Full Record in Web of Science</v>
      </c>
    </row>
    <row r="830" spans="1:72" x14ac:dyDescent="0.15">
      <c r="A830" t="s">
        <v>72</v>
      </c>
      <c r="B830" t="s">
        <v>12960</v>
      </c>
      <c r="C830" t="s">
        <v>74</v>
      </c>
      <c r="D830" t="s">
        <v>74</v>
      </c>
      <c r="E830" t="s">
        <v>74</v>
      </c>
      <c r="F830" t="s">
        <v>12961</v>
      </c>
      <c r="G830" t="s">
        <v>74</v>
      </c>
      <c r="H830" t="s">
        <v>74</v>
      </c>
      <c r="I830" t="s">
        <v>12962</v>
      </c>
      <c r="J830" t="s">
        <v>2434</v>
      </c>
      <c r="K830" t="s">
        <v>74</v>
      </c>
      <c r="L830" t="s">
        <v>74</v>
      </c>
      <c r="M830" t="s">
        <v>78</v>
      </c>
      <c r="N830" t="s">
        <v>79</v>
      </c>
      <c r="O830" t="s">
        <v>74</v>
      </c>
      <c r="P830" t="s">
        <v>74</v>
      </c>
      <c r="Q830" t="s">
        <v>74</v>
      </c>
      <c r="R830" t="s">
        <v>74</v>
      </c>
      <c r="S830" t="s">
        <v>74</v>
      </c>
      <c r="T830" t="s">
        <v>74</v>
      </c>
      <c r="U830" t="s">
        <v>12963</v>
      </c>
      <c r="V830" t="s">
        <v>12964</v>
      </c>
      <c r="W830" t="s">
        <v>12965</v>
      </c>
      <c r="X830" t="s">
        <v>1988</v>
      </c>
      <c r="Y830" t="s">
        <v>12966</v>
      </c>
      <c r="Z830" t="s">
        <v>12967</v>
      </c>
      <c r="AA830" t="s">
        <v>12968</v>
      </c>
      <c r="AB830" t="s">
        <v>12969</v>
      </c>
      <c r="AC830" t="s">
        <v>1737</v>
      </c>
      <c r="AD830" t="s">
        <v>361</v>
      </c>
      <c r="AE830" t="s">
        <v>74</v>
      </c>
      <c r="AF830" t="s">
        <v>74</v>
      </c>
      <c r="AG830">
        <v>37</v>
      </c>
      <c r="AH830">
        <v>19</v>
      </c>
      <c r="AI830">
        <v>21</v>
      </c>
      <c r="AJ830">
        <v>1</v>
      </c>
      <c r="AK830">
        <v>7</v>
      </c>
      <c r="AL830" t="s">
        <v>1592</v>
      </c>
      <c r="AM830" t="s">
        <v>1593</v>
      </c>
      <c r="AN830" t="s">
        <v>1594</v>
      </c>
      <c r="AO830" t="s">
        <v>2442</v>
      </c>
      <c r="AP830" t="s">
        <v>2443</v>
      </c>
      <c r="AQ830" t="s">
        <v>74</v>
      </c>
      <c r="AR830" t="s">
        <v>2444</v>
      </c>
      <c r="AS830" t="s">
        <v>2445</v>
      </c>
      <c r="AT830" t="s">
        <v>11681</v>
      </c>
      <c r="AU830">
        <v>2007</v>
      </c>
      <c r="AV830">
        <v>30</v>
      </c>
      <c r="AW830">
        <v>3</v>
      </c>
      <c r="AX830" t="s">
        <v>74</v>
      </c>
      <c r="AY830" t="s">
        <v>74</v>
      </c>
      <c r="AZ830" t="s">
        <v>74</v>
      </c>
      <c r="BA830" t="s">
        <v>74</v>
      </c>
      <c r="BB830">
        <v>359</v>
      </c>
      <c r="BC830">
        <v>368</v>
      </c>
      <c r="BD830" t="s">
        <v>74</v>
      </c>
      <c r="BE830" t="s">
        <v>12970</v>
      </c>
      <c r="BF830" t="str">
        <f>HYPERLINK("http://dx.doi.org/10.1007/s00300-006-0192-8","http://dx.doi.org/10.1007/s00300-006-0192-8")</f>
        <v>http://dx.doi.org/10.1007/s00300-006-0192-8</v>
      </c>
      <c r="BG830" t="s">
        <v>74</v>
      </c>
      <c r="BH830" t="s">
        <v>74</v>
      </c>
      <c r="BI830">
        <v>10</v>
      </c>
      <c r="BJ830" t="s">
        <v>97</v>
      </c>
      <c r="BK830" t="s">
        <v>98</v>
      </c>
      <c r="BL830" t="s">
        <v>99</v>
      </c>
      <c r="BM830" t="s">
        <v>12899</v>
      </c>
      <c r="BN830" t="s">
        <v>74</v>
      </c>
      <c r="BO830" t="s">
        <v>74</v>
      </c>
      <c r="BP830" t="s">
        <v>74</v>
      </c>
      <c r="BQ830" t="s">
        <v>74</v>
      </c>
      <c r="BR830" t="s">
        <v>101</v>
      </c>
      <c r="BS830" t="s">
        <v>12971</v>
      </c>
      <c r="BT830" t="str">
        <f>HYPERLINK("https%3A%2F%2Fwww.webofscience.com%2Fwos%2Fwoscc%2Ffull-record%2FWOS:000244212700013","View Full Record in Web of Science")</f>
        <v>View Full Record in Web of Science</v>
      </c>
    </row>
    <row r="831" spans="1:72" x14ac:dyDescent="0.15">
      <c r="A831" t="s">
        <v>72</v>
      </c>
      <c r="B831" t="s">
        <v>12972</v>
      </c>
      <c r="C831" t="s">
        <v>74</v>
      </c>
      <c r="D831" t="s">
        <v>74</v>
      </c>
      <c r="E831" t="s">
        <v>74</v>
      </c>
      <c r="F831" t="s">
        <v>12973</v>
      </c>
      <c r="G831" t="s">
        <v>74</v>
      </c>
      <c r="H831" t="s">
        <v>74</v>
      </c>
      <c r="I831" t="s">
        <v>12974</v>
      </c>
      <c r="J831" t="s">
        <v>2434</v>
      </c>
      <c r="K831" t="s">
        <v>74</v>
      </c>
      <c r="L831" t="s">
        <v>74</v>
      </c>
      <c r="M831" t="s">
        <v>78</v>
      </c>
      <c r="N831" t="s">
        <v>79</v>
      </c>
      <c r="O831" t="s">
        <v>74</v>
      </c>
      <c r="P831" t="s">
        <v>74</v>
      </c>
      <c r="Q831" t="s">
        <v>74</v>
      </c>
      <c r="R831" t="s">
        <v>74</v>
      </c>
      <c r="S831" t="s">
        <v>74</v>
      </c>
      <c r="T831" t="s">
        <v>12975</v>
      </c>
      <c r="U831" t="s">
        <v>74</v>
      </c>
      <c r="V831" t="s">
        <v>12976</v>
      </c>
      <c r="W831" t="s">
        <v>12977</v>
      </c>
      <c r="X831" t="s">
        <v>12978</v>
      </c>
      <c r="Y831" t="s">
        <v>12979</v>
      </c>
      <c r="Z831" t="s">
        <v>12980</v>
      </c>
      <c r="AA831" t="s">
        <v>12981</v>
      </c>
      <c r="AB831" t="s">
        <v>12982</v>
      </c>
      <c r="AC831" t="s">
        <v>74</v>
      </c>
      <c r="AD831" t="s">
        <v>74</v>
      </c>
      <c r="AE831" t="s">
        <v>74</v>
      </c>
      <c r="AF831" t="s">
        <v>74</v>
      </c>
      <c r="AG831">
        <v>15</v>
      </c>
      <c r="AH831">
        <v>0</v>
      </c>
      <c r="AI831">
        <v>0</v>
      </c>
      <c r="AJ831">
        <v>0</v>
      </c>
      <c r="AK831">
        <v>1</v>
      </c>
      <c r="AL831" t="s">
        <v>1592</v>
      </c>
      <c r="AM831" t="s">
        <v>1593</v>
      </c>
      <c r="AN831" t="s">
        <v>1594</v>
      </c>
      <c r="AO831" t="s">
        <v>2442</v>
      </c>
      <c r="AP831" t="s">
        <v>2443</v>
      </c>
      <c r="AQ831" t="s">
        <v>74</v>
      </c>
      <c r="AR831" t="s">
        <v>2444</v>
      </c>
      <c r="AS831" t="s">
        <v>2445</v>
      </c>
      <c r="AT831" t="s">
        <v>11681</v>
      </c>
      <c r="AU831">
        <v>2007</v>
      </c>
      <c r="AV831">
        <v>30</v>
      </c>
      <c r="AW831">
        <v>3</v>
      </c>
      <c r="AX831" t="s">
        <v>74</v>
      </c>
      <c r="AY831" t="s">
        <v>74</v>
      </c>
      <c r="AZ831" t="s">
        <v>74</v>
      </c>
      <c r="BA831" t="s">
        <v>74</v>
      </c>
      <c r="BB831">
        <v>387</v>
      </c>
      <c r="BC831">
        <v>390</v>
      </c>
      <c r="BD831" t="s">
        <v>74</v>
      </c>
      <c r="BE831" t="s">
        <v>12983</v>
      </c>
      <c r="BF831" t="str">
        <f>HYPERLINK("http://dx.doi.org/10.1007/s00300-006-0195-5","http://dx.doi.org/10.1007/s00300-006-0195-5")</f>
        <v>http://dx.doi.org/10.1007/s00300-006-0195-5</v>
      </c>
      <c r="BG831" t="s">
        <v>74</v>
      </c>
      <c r="BH831" t="s">
        <v>74</v>
      </c>
      <c r="BI831">
        <v>4</v>
      </c>
      <c r="BJ831" t="s">
        <v>97</v>
      </c>
      <c r="BK831" t="s">
        <v>98</v>
      </c>
      <c r="BL831" t="s">
        <v>99</v>
      </c>
      <c r="BM831" t="s">
        <v>12899</v>
      </c>
      <c r="BN831" t="s">
        <v>74</v>
      </c>
      <c r="BO831" t="s">
        <v>74</v>
      </c>
      <c r="BP831" t="s">
        <v>74</v>
      </c>
      <c r="BQ831" t="s">
        <v>74</v>
      </c>
      <c r="BR831" t="s">
        <v>101</v>
      </c>
      <c r="BS831" t="s">
        <v>12984</v>
      </c>
      <c r="BT831" t="str">
        <f>HYPERLINK("https%3A%2F%2Fwww.webofscience.com%2Fwos%2Fwoscc%2Ffull-record%2FWOS:000244212700016","View Full Record in Web of Science")</f>
        <v>View Full Record in Web of Science</v>
      </c>
    </row>
    <row r="832" spans="1:72" x14ac:dyDescent="0.15">
      <c r="A832" t="s">
        <v>72</v>
      </c>
      <c r="B832" t="s">
        <v>12985</v>
      </c>
      <c r="C832" t="s">
        <v>74</v>
      </c>
      <c r="D832" t="s">
        <v>74</v>
      </c>
      <c r="E832" t="s">
        <v>74</v>
      </c>
      <c r="F832" t="s">
        <v>12986</v>
      </c>
      <c r="G832" t="s">
        <v>74</v>
      </c>
      <c r="H832" t="s">
        <v>74</v>
      </c>
      <c r="I832" t="s">
        <v>12987</v>
      </c>
      <c r="J832" t="s">
        <v>11092</v>
      </c>
      <c r="K832" t="s">
        <v>74</v>
      </c>
      <c r="L832" t="s">
        <v>74</v>
      </c>
      <c r="M832" t="s">
        <v>78</v>
      </c>
      <c r="N832" t="s">
        <v>79</v>
      </c>
      <c r="O832" t="s">
        <v>74</v>
      </c>
      <c r="P832" t="s">
        <v>74</v>
      </c>
      <c r="Q832" t="s">
        <v>74</v>
      </c>
      <c r="R832" t="s">
        <v>74</v>
      </c>
      <c r="S832" t="s">
        <v>74</v>
      </c>
      <c r="T832" t="s">
        <v>12988</v>
      </c>
      <c r="U832" t="s">
        <v>12989</v>
      </c>
      <c r="V832" t="s">
        <v>12990</v>
      </c>
      <c r="W832" t="s">
        <v>12991</v>
      </c>
      <c r="X832" t="s">
        <v>12992</v>
      </c>
      <c r="Y832" t="s">
        <v>12993</v>
      </c>
      <c r="Z832" t="s">
        <v>12994</v>
      </c>
      <c r="AA832" t="s">
        <v>74</v>
      </c>
      <c r="AB832" t="s">
        <v>74</v>
      </c>
      <c r="AC832" t="s">
        <v>74</v>
      </c>
      <c r="AD832" t="s">
        <v>74</v>
      </c>
      <c r="AE832" t="s">
        <v>74</v>
      </c>
      <c r="AF832" t="s">
        <v>74</v>
      </c>
      <c r="AG832">
        <v>30</v>
      </c>
      <c r="AH832">
        <v>7</v>
      </c>
      <c r="AI832">
        <v>9</v>
      </c>
      <c r="AJ832">
        <v>3</v>
      </c>
      <c r="AK832">
        <v>24</v>
      </c>
      <c r="AL832" t="s">
        <v>11102</v>
      </c>
      <c r="AM832" t="s">
        <v>11103</v>
      </c>
      <c r="AN832" t="s">
        <v>11104</v>
      </c>
      <c r="AO832" t="s">
        <v>11105</v>
      </c>
      <c r="AP832" t="s">
        <v>11106</v>
      </c>
      <c r="AQ832" t="s">
        <v>74</v>
      </c>
      <c r="AR832" t="s">
        <v>11107</v>
      </c>
      <c r="AS832" t="s">
        <v>11108</v>
      </c>
      <c r="AT832" t="s">
        <v>11681</v>
      </c>
      <c r="AU832">
        <v>2007</v>
      </c>
      <c r="AV832">
        <v>51</v>
      </c>
      <c r="AW832">
        <v>2</v>
      </c>
      <c r="AX832" t="s">
        <v>74</v>
      </c>
      <c r="AY832" t="s">
        <v>74</v>
      </c>
      <c r="AZ832" t="s">
        <v>74</v>
      </c>
      <c r="BA832" t="s">
        <v>74</v>
      </c>
      <c r="BB832">
        <v>243</v>
      </c>
      <c r="BC832">
        <v>252</v>
      </c>
      <c r="BD832" t="s">
        <v>74</v>
      </c>
      <c r="BE832" t="s">
        <v>12995</v>
      </c>
      <c r="BF832" t="str">
        <f>HYPERLINK("http://dx.doi.org/10.1016/j.pep.2006.06.008","http://dx.doi.org/10.1016/j.pep.2006.06.008")</f>
        <v>http://dx.doi.org/10.1016/j.pep.2006.06.008</v>
      </c>
      <c r="BG832" t="s">
        <v>74</v>
      </c>
      <c r="BH832" t="s">
        <v>74</v>
      </c>
      <c r="BI832">
        <v>10</v>
      </c>
      <c r="BJ832" t="s">
        <v>11110</v>
      </c>
      <c r="BK832" t="s">
        <v>98</v>
      </c>
      <c r="BL832" t="s">
        <v>11111</v>
      </c>
      <c r="BM832" t="s">
        <v>12996</v>
      </c>
      <c r="BN832">
        <v>16879980</v>
      </c>
      <c r="BO832" t="s">
        <v>74</v>
      </c>
      <c r="BP832" t="s">
        <v>74</v>
      </c>
      <c r="BQ832" t="s">
        <v>74</v>
      </c>
      <c r="BR832" t="s">
        <v>101</v>
      </c>
      <c r="BS832" t="s">
        <v>12997</v>
      </c>
      <c r="BT832" t="str">
        <f>HYPERLINK("https%3A%2F%2Fwww.webofscience.com%2Fwos%2Fwoscc%2Ffull-record%2FWOS:000244210100014","View Full Record in Web of Science")</f>
        <v>View Full Record in Web of Science</v>
      </c>
    </row>
    <row r="833" spans="1:72" x14ac:dyDescent="0.15">
      <c r="A833" t="s">
        <v>72</v>
      </c>
      <c r="B833" t="s">
        <v>12998</v>
      </c>
      <c r="C833" t="s">
        <v>74</v>
      </c>
      <c r="D833" t="s">
        <v>74</v>
      </c>
      <c r="E833" t="s">
        <v>74</v>
      </c>
      <c r="F833" t="s">
        <v>12999</v>
      </c>
      <c r="G833" t="s">
        <v>74</v>
      </c>
      <c r="H833" t="s">
        <v>74</v>
      </c>
      <c r="I833" t="s">
        <v>13000</v>
      </c>
      <c r="J833" t="s">
        <v>2553</v>
      </c>
      <c r="K833" t="s">
        <v>74</v>
      </c>
      <c r="L833" t="s">
        <v>74</v>
      </c>
      <c r="M833" t="s">
        <v>78</v>
      </c>
      <c r="N833" t="s">
        <v>79</v>
      </c>
      <c r="O833" t="s">
        <v>74</v>
      </c>
      <c r="P833" t="s">
        <v>74</v>
      </c>
      <c r="Q833" t="s">
        <v>74</v>
      </c>
      <c r="R833" t="s">
        <v>74</v>
      </c>
      <c r="S833" t="s">
        <v>74</v>
      </c>
      <c r="T833" t="s">
        <v>74</v>
      </c>
      <c r="U833" t="s">
        <v>13001</v>
      </c>
      <c r="V833" t="s">
        <v>13002</v>
      </c>
      <c r="W833" t="s">
        <v>13003</v>
      </c>
      <c r="X833" t="s">
        <v>13004</v>
      </c>
      <c r="Y833" t="s">
        <v>13005</v>
      </c>
      <c r="Z833" t="s">
        <v>13006</v>
      </c>
      <c r="AA833" t="s">
        <v>13007</v>
      </c>
      <c r="AB833" t="s">
        <v>13008</v>
      </c>
      <c r="AC833" t="s">
        <v>74</v>
      </c>
      <c r="AD833" t="s">
        <v>74</v>
      </c>
      <c r="AE833" t="s">
        <v>74</v>
      </c>
      <c r="AF833" t="s">
        <v>74</v>
      </c>
      <c r="AG833">
        <v>51</v>
      </c>
      <c r="AH833">
        <v>149</v>
      </c>
      <c r="AI833">
        <v>166</v>
      </c>
      <c r="AJ833">
        <v>2</v>
      </c>
      <c r="AK833">
        <v>33</v>
      </c>
      <c r="AL833" t="s">
        <v>1503</v>
      </c>
      <c r="AM833" t="s">
        <v>1504</v>
      </c>
      <c r="AN833" t="s">
        <v>1505</v>
      </c>
      <c r="AO833" t="s">
        <v>2562</v>
      </c>
      <c r="AP833" t="s">
        <v>74</v>
      </c>
      <c r="AQ833" t="s">
        <v>74</v>
      </c>
      <c r="AR833" t="s">
        <v>2563</v>
      </c>
      <c r="AS833" t="s">
        <v>2564</v>
      </c>
      <c r="AT833" t="s">
        <v>11681</v>
      </c>
      <c r="AU833">
        <v>2007</v>
      </c>
      <c r="AV833">
        <v>26</v>
      </c>
      <c r="AW833" t="s">
        <v>686</v>
      </c>
      <c r="AX833" t="s">
        <v>74</v>
      </c>
      <c r="AY833" t="s">
        <v>74</v>
      </c>
      <c r="AZ833" t="s">
        <v>74</v>
      </c>
      <c r="BA833" t="s">
        <v>74</v>
      </c>
      <c r="BB833">
        <v>312</v>
      </c>
      <c r="BC833">
        <v>321</v>
      </c>
      <c r="BD833" t="s">
        <v>74</v>
      </c>
      <c r="BE833" t="s">
        <v>13009</v>
      </c>
      <c r="BF833" t="str">
        <f>HYPERLINK("http://dx.doi.org/10.1016/j.quascirev.2006.07.016","http://dx.doi.org/10.1016/j.quascirev.2006.07.016")</f>
        <v>http://dx.doi.org/10.1016/j.quascirev.2006.07.016</v>
      </c>
      <c r="BG833" t="s">
        <v>74</v>
      </c>
      <c r="BH833" t="s">
        <v>74</v>
      </c>
      <c r="BI833">
        <v>10</v>
      </c>
      <c r="BJ833" t="s">
        <v>2567</v>
      </c>
      <c r="BK833" t="s">
        <v>98</v>
      </c>
      <c r="BL833" t="s">
        <v>2568</v>
      </c>
      <c r="BM833" t="s">
        <v>13010</v>
      </c>
      <c r="BN833" t="s">
        <v>74</v>
      </c>
      <c r="BO833" t="s">
        <v>198</v>
      </c>
      <c r="BP833" t="s">
        <v>74</v>
      </c>
      <c r="BQ833" t="s">
        <v>74</v>
      </c>
      <c r="BR833" t="s">
        <v>101</v>
      </c>
      <c r="BS833" t="s">
        <v>13011</v>
      </c>
      <c r="BT833" t="str">
        <f>HYPERLINK("https%3A%2F%2Fwww.webofscience.com%2Fwos%2Fwoscc%2Ffull-record%2FWOS:000245779200005","View Full Record in Web of Science")</f>
        <v>View Full Record in Web of Science</v>
      </c>
    </row>
    <row r="834" spans="1:72" x14ac:dyDescent="0.15">
      <c r="A834" t="s">
        <v>72</v>
      </c>
      <c r="B834" t="s">
        <v>13012</v>
      </c>
      <c r="C834" t="s">
        <v>74</v>
      </c>
      <c r="D834" t="s">
        <v>74</v>
      </c>
      <c r="E834" t="s">
        <v>74</v>
      </c>
      <c r="F834" t="s">
        <v>13013</v>
      </c>
      <c r="G834" t="s">
        <v>74</v>
      </c>
      <c r="H834" t="s">
        <v>74</v>
      </c>
      <c r="I834" t="s">
        <v>13014</v>
      </c>
      <c r="J834" t="s">
        <v>2553</v>
      </c>
      <c r="K834" t="s">
        <v>74</v>
      </c>
      <c r="L834" t="s">
        <v>74</v>
      </c>
      <c r="M834" t="s">
        <v>78</v>
      </c>
      <c r="N834" t="s">
        <v>248</v>
      </c>
      <c r="O834" t="s">
        <v>74</v>
      </c>
      <c r="P834" t="s">
        <v>74</v>
      </c>
      <c r="Q834" t="s">
        <v>74</v>
      </c>
      <c r="R834" t="s">
        <v>74</v>
      </c>
      <c r="S834" t="s">
        <v>74</v>
      </c>
      <c r="T834" t="s">
        <v>74</v>
      </c>
      <c r="U834" t="s">
        <v>13015</v>
      </c>
      <c r="V834" t="s">
        <v>13016</v>
      </c>
      <c r="W834" t="s">
        <v>13017</v>
      </c>
      <c r="X834" t="s">
        <v>13018</v>
      </c>
      <c r="Y834" t="s">
        <v>13019</v>
      </c>
      <c r="Z834" t="s">
        <v>10084</v>
      </c>
      <c r="AA834" t="s">
        <v>13020</v>
      </c>
      <c r="AB834" t="s">
        <v>13021</v>
      </c>
      <c r="AC834" t="s">
        <v>13022</v>
      </c>
      <c r="AD834" t="s">
        <v>361</v>
      </c>
      <c r="AE834" t="s">
        <v>74</v>
      </c>
      <c r="AF834" t="s">
        <v>74</v>
      </c>
      <c r="AG834">
        <v>102</v>
      </c>
      <c r="AH834">
        <v>50</v>
      </c>
      <c r="AI834">
        <v>56</v>
      </c>
      <c r="AJ834">
        <v>3</v>
      </c>
      <c r="AK834">
        <v>21</v>
      </c>
      <c r="AL834" t="s">
        <v>1503</v>
      </c>
      <c r="AM834" t="s">
        <v>1504</v>
      </c>
      <c r="AN834" t="s">
        <v>1505</v>
      </c>
      <c r="AO834" t="s">
        <v>2562</v>
      </c>
      <c r="AP834" t="s">
        <v>74</v>
      </c>
      <c r="AQ834" t="s">
        <v>74</v>
      </c>
      <c r="AR834" t="s">
        <v>2563</v>
      </c>
      <c r="AS834" t="s">
        <v>2564</v>
      </c>
      <c r="AT834" t="s">
        <v>11681</v>
      </c>
      <c r="AU834">
        <v>2007</v>
      </c>
      <c r="AV834">
        <v>26</v>
      </c>
      <c r="AW834" t="s">
        <v>686</v>
      </c>
      <c r="AX834" t="s">
        <v>74</v>
      </c>
      <c r="AY834" t="s">
        <v>74</v>
      </c>
      <c r="AZ834" t="s">
        <v>74</v>
      </c>
      <c r="BA834" t="s">
        <v>74</v>
      </c>
      <c r="BB834">
        <v>500</v>
      </c>
      <c r="BC834">
        <v>516</v>
      </c>
      <c r="BD834" t="s">
        <v>74</v>
      </c>
      <c r="BE834" t="s">
        <v>13023</v>
      </c>
      <c r="BF834" t="str">
        <f>HYPERLINK("http://dx.doi.org/10.1016/j.quascirev.2006.05.006","http://dx.doi.org/10.1016/j.quascirev.2006.05.006")</f>
        <v>http://dx.doi.org/10.1016/j.quascirev.2006.05.006</v>
      </c>
      <c r="BG834" t="s">
        <v>74</v>
      </c>
      <c r="BH834" t="s">
        <v>74</v>
      </c>
      <c r="BI834">
        <v>17</v>
      </c>
      <c r="BJ834" t="s">
        <v>2567</v>
      </c>
      <c r="BK834" t="s">
        <v>98</v>
      </c>
      <c r="BL834" t="s">
        <v>2568</v>
      </c>
      <c r="BM834" t="s">
        <v>13010</v>
      </c>
      <c r="BN834" t="s">
        <v>74</v>
      </c>
      <c r="BO834" t="s">
        <v>74</v>
      </c>
      <c r="BP834" t="s">
        <v>74</v>
      </c>
      <c r="BQ834" t="s">
        <v>74</v>
      </c>
      <c r="BR834" t="s">
        <v>101</v>
      </c>
      <c r="BS834" t="s">
        <v>13024</v>
      </c>
      <c r="BT834" t="str">
        <f>HYPERLINK("https%3A%2F%2Fwww.webofscience.com%2Fwos%2Fwoscc%2Ffull-record%2FWOS:000245779200018","View Full Record in Web of Science")</f>
        <v>View Full Record in Web of Science</v>
      </c>
    </row>
    <row r="835" spans="1:72" x14ac:dyDescent="0.15">
      <c r="A835" t="s">
        <v>72</v>
      </c>
      <c r="B835" t="s">
        <v>13025</v>
      </c>
      <c r="C835" t="s">
        <v>74</v>
      </c>
      <c r="D835" t="s">
        <v>74</v>
      </c>
      <c r="E835" t="s">
        <v>74</v>
      </c>
      <c r="F835" t="s">
        <v>13026</v>
      </c>
      <c r="G835" t="s">
        <v>74</v>
      </c>
      <c r="H835" t="s">
        <v>74</v>
      </c>
      <c r="I835" t="s">
        <v>13027</v>
      </c>
      <c r="J835" t="s">
        <v>13028</v>
      </c>
      <c r="K835" t="s">
        <v>74</v>
      </c>
      <c r="L835" t="s">
        <v>74</v>
      </c>
      <c r="M835" t="s">
        <v>78</v>
      </c>
      <c r="N835" t="s">
        <v>79</v>
      </c>
      <c r="O835" t="s">
        <v>74</v>
      </c>
      <c r="P835" t="s">
        <v>74</v>
      </c>
      <c r="Q835" t="s">
        <v>74</v>
      </c>
      <c r="R835" t="s">
        <v>74</v>
      </c>
      <c r="S835" t="s">
        <v>74</v>
      </c>
      <c r="T835" t="s">
        <v>13029</v>
      </c>
      <c r="U835" t="s">
        <v>13030</v>
      </c>
      <c r="V835" t="s">
        <v>13031</v>
      </c>
      <c r="W835" t="s">
        <v>13032</v>
      </c>
      <c r="X835" t="s">
        <v>2494</v>
      </c>
      <c r="Y835" t="s">
        <v>13033</v>
      </c>
      <c r="Z835" t="s">
        <v>13034</v>
      </c>
      <c r="AA835" t="s">
        <v>74</v>
      </c>
      <c r="AB835" t="s">
        <v>74</v>
      </c>
      <c r="AC835" t="s">
        <v>74</v>
      </c>
      <c r="AD835" t="s">
        <v>74</v>
      </c>
      <c r="AE835" t="s">
        <v>74</v>
      </c>
      <c r="AF835" t="s">
        <v>74</v>
      </c>
      <c r="AG835">
        <v>32</v>
      </c>
      <c r="AH835">
        <v>11</v>
      </c>
      <c r="AI835">
        <v>12</v>
      </c>
      <c r="AJ835">
        <v>0</v>
      </c>
      <c r="AK835">
        <v>25</v>
      </c>
      <c r="AL835" t="s">
        <v>1503</v>
      </c>
      <c r="AM835" t="s">
        <v>1504</v>
      </c>
      <c r="AN835" t="s">
        <v>1505</v>
      </c>
      <c r="AO835" t="s">
        <v>13035</v>
      </c>
      <c r="AP835" t="s">
        <v>74</v>
      </c>
      <c r="AQ835" t="s">
        <v>74</v>
      </c>
      <c r="AR835" t="s">
        <v>13036</v>
      </c>
      <c r="AS835" t="s">
        <v>13037</v>
      </c>
      <c r="AT835" t="s">
        <v>11681</v>
      </c>
      <c r="AU835">
        <v>2007</v>
      </c>
      <c r="AV835">
        <v>39</v>
      </c>
      <c r="AW835">
        <v>2</v>
      </c>
      <c r="AX835" t="s">
        <v>74</v>
      </c>
      <c r="AY835" t="s">
        <v>74</v>
      </c>
      <c r="AZ835" t="s">
        <v>74</v>
      </c>
      <c r="BA835" t="s">
        <v>74</v>
      </c>
      <c r="BB835">
        <v>709</v>
      </c>
      <c r="BC835">
        <v>713</v>
      </c>
      <c r="BD835" t="s">
        <v>74</v>
      </c>
      <c r="BE835" t="s">
        <v>13038</v>
      </c>
      <c r="BF835" t="str">
        <f>HYPERLINK("http://dx.doi.org/10.1016/j.soilbio.2006.09.026","http://dx.doi.org/10.1016/j.soilbio.2006.09.026")</f>
        <v>http://dx.doi.org/10.1016/j.soilbio.2006.09.026</v>
      </c>
      <c r="BG835" t="s">
        <v>74</v>
      </c>
      <c r="BH835" t="s">
        <v>74</v>
      </c>
      <c r="BI835">
        <v>5</v>
      </c>
      <c r="BJ835" t="s">
        <v>5381</v>
      </c>
      <c r="BK835" t="s">
        <v>98</v>
      </c>
      <c r="BL835" t="s">
        <v>5382</v>
      </c>
      <c r="BM835" t="s">
        <v>13039</v>
      </c>
      <c r="BN835" t="s">
        <v>74</v>
      </c>
      <c r="BO835" t="s">
        <v>74</v>
      </c>
      <c r="BP835" t="s">
        <v>74</v>
      </c>
      <c r="BQ835" t="s">
        <v>74</v>
      </c>
      <c r="BR835" t="s">
        <v>101</v>
      </c>
      <c r="BS835" t="s">
        <v>13040</v>
      </c>
      <c r="BT835" t="str">
        <f>HYPERLINK("https%3A%2F%2Fwww.webofscience.com%2Fwos%2Fwoscc%2Ffull-record%2FWOS:000243209100037","View Full Record in Web of Science")</f>
        <v>View Full Record in Web of Science</v>
      </c>
    </row>
    <row r="836" spans="1:72" x14ac:dyDescent="0.15">
      <c r="A836" t="s">
        <v>72</v>
      </c>
      <c r="B836" t="s">
        <v>13041</v>
      </c>
      <c r="C836" t="s">
        <v>74</v>
      </c>
      <c r="D836" t="s">
        <v>74</v>
      </c>
      <c r="E836" t="s">
        <v>74</v>
      </c>
      <c r="F836" t="s">
        <v>13042</v>
      </c>
      <c r="G836" t="s">
        <v>74</v>
      </c>
      <c r="H836" t="s">
        <v>74</v>
      </c>
      <c r="I836" t="s">
        <v>13043</v>
      </c>
      <c r="J836" t="s">
        <v>9393</v>
      </c>
      <c r="K836" t="s">
        <v>74</v>
      </c>
      <c r="L836" t="s">
        <v>74</v>
      </c>
      <c r="M836" t="s">
        <v>78</v>
      </c>
      <c r="N836" t="s">
        <v>79</v>
      </c>
      <c r="O836" t="s">
        <v>74</v>
      </c>
      <c r="P836" t="s">
        <v>74</v>
      </c>
      <c r="Q836" t="s">
        <v>74</v>
      </c>
      <c r="R836" t="s">
        <v>74</v>
      </c>
      <c r="S836" t="s">
        <v>74</v>
      </c>
      <c r="T836" t="s">
        <v>74</v>
      </c>
      <c r="U836" t="s">
        <v>13044</v>
      </c>
      <c r="V836" t="s">
        <v>13045</v>
      </c>
      <c r="W836" t="s">
        <v>13046</v>
      </c>
      <c r="X836" t="s">
        <v>13047</v>
      </c>
      <c r="Y836" t="s">
        <v>13048</v>
      </c>
      <c r="Z836" t="s">
        <v>13049</v>
      </c>
      <c r="AA836" t="s">
        <v>13050</v>
      </c>
      <c r="AB836" t="s">
        <v>13051</v>
      </c>
      <c r="AC836" t="s">
        <v>13052</v>
      </c>
      <c r="AD836" t="s">
        <v>361</v>
      </c>
      <c r="AE836" t="s">
        <v>74</v>
      </c>
      <c r="AF836" t="s">
        <v>74</v>
      </c>
      <c r="AG836">
        <v>64</v>
      </c>
      <c r="AH836">
        <v>26</v>
      </c>
      <c r="AI836">
        <v>31</v>
      </c>
      <c r="AJ836">
        <v>0</v>
      </c>
      <c r="AK836">
        <v>13</v>
      </c>
      <c r="AL836" t="s">
        <v>1225</v>
      </c>
      <c r="AM836" t="s">
        <v>1226</v>
      </c>
      <c r="AN836" t="s">
        <v>1227</v>
      </c>
      <c r="AO836" t="s">
        <v>9405</v>
      </c>
      <c r="AP836" t="s">
        <v>74</v>
      </c>
      <c r="AQ836" t="s">
        <v>74</v>
      </c>
      <c r="AR836" t="s">
        <v>9406</v>
      </c>
      <c r="AS836" t="s">
        <v>9407</v>
      </c>
      <c r="AT836" t="s">
        <v>11681</v>
      </c>
      <c r="AU836">
        <v>2007</v>
      </c>
      <c r="AV836">
        <v>59</v>
      </c>
      <c r="AW836">
        <v>1</v>
      </c>
      <c r="AX836" t="s">
        <v>74</v>
      </c>
      <c r="AY836" t="s">
        <v>74</v>
      </c>
      <c r="AZ836" t="s">
        <v>74</v>
      </c>
      <c r="BA836" t="s">
        <v>74</v>
      </c>
      <c r="BB836">
        <v>22</v>
      </c>
      <c r="BC836">
        <v>38</v>
      </c>
      <c r="BD836" t="s">
        <v>74</v>
      </c>
      <c r="BE836" t="s">
        <v>13053</v>
      </c>
      <c r="BF836" t="str">
        <f>HYPERLINK("http://dx.doi.org/10.1111/j.1600-0889.2006.00226.x","http://dx.doi.org/10.1111/j.1600-0889.2006.00226.x")</f>
        <v>http://dx.doi.org/10.1111/j.1600-0889.2006.00226.x</v>
      </c>
      <c r="BG836" t="s">
        <v>74</v>
      </c>
      <c r="BH836" t="s">
        <v>74</v>
      </c>
      <c r="BI836">
        <v>17</v>
      </c>
      <c r="BJ836" t="s">
        <v>435</v>
      </c>
      <c r="BK836" t="s">
        <v>98</v>
      </c>
      <c r="BL836" t="s">
        <v>435</v>
      </c>
      <c r="BM836" t="s">
        <v>13054</v>
      </c>
      <c r="BN836" t="s">
        <v>74</v>
      </c>
      <c r="BO836" t="s">
        <v>577</v>
      </c>
      <c r="BP836" t="s">
        <v>74</v>
      </c>
      <c r="BQ836" t="s">
        <v>74</v>
      </c>
      <c r="BR836" t="s">
        <v>101</v>
      </c>
      <c r="BS836" t="s">
        <v>13055</v>
      </c>
      <c r="BT836" t="str">
        <f>HYPERLINK("https%3A%2F%2Fwww.webofscience.com%2Fwos%2Fwoscc%2Ffull-record%2FWOS:000243681100003","View Full Record in Web of Science")</f>
        <v>View Full Record in Web of Science</v>
      </c>
    </row>
    <row r="837" spans="1:72" x14ac:dyDescent="0.15">
      <c r="A837" t="s">
        <v>72</v>
      </c>
      <c r="B837" t="s">
        <v>13056</v>
      </c>
      <c r="C837" t="s">
        <v>74</v>
      </c>
      <c r="D837" t="s">
        <v>74</v>
      </c>
      <c r="E837" t="s">
        <v>74</v>
      </c>
      <c r="F837" t="s">
        <v>13057</v>
      </c>
      <c r="G837" t="s">
        <v>74</v>
      </c>
      <c r="H837" t="s">
        <v>74</v>
      </c>
      <c r="I837" t="s">
        <v>13058</v>
      </c>
      <c r="J837" t="s">
        <v>9393</v>
      </c>
      <c r="K837" t="s">
        <v>74</v>
      </c>
      <c r="L837" t="s">
        <v>74</v>
      </c>
      <c r="M837" t="s">
        <v>78</v>
      </c>
      <c r="N837" t="s">
        <v>79</v>
      </c>
      <c r="O837" t="s">
        <v>74</v>
      </c>
      <c r="P837" t="s">
        <v>74</v>
      </c>
      <c r="Q837" t="s">
        <v>74</v>
      </c>
      <c r="R837" t="s">
        <v>74</v>
      </c>
      <c r="S837" t="s">
        <v>74</v>
      </c>
      <c r="T837" t="s">
        <v>74</v>
      </c>
      <c r="U837" t="s">
        <v>13059</v>
      </c>
      <c r="V837" t="s">
        <v>13060</v>
      </c>
      <c r="W837" t="s">
        <v>13061</v>
      </c>
      <c r="X837" t="s">
        <v>13062</v>
      </c>
      <c r="Y837" t="s">
        <v>13063</v>
      </c>
      <c r="Z837" t="s">
        <v>13064</v>
      </c>
      <c r="AA837" t="s">
        <v>13065</v>
      </c>
      <c r="AB837" t="s">
        <v>13066</v>
      </c>
      <c r="AC837" t="s">
        <v>74</v>
      </c>
      <c r="AD837" t="s">
        <v>74</v>
      </c>
      <c r="AE837" t="s">
        <v>74</v>
      </c>
      <c r="AF837" t="s">
        <v>74</v>
      </c>
      <c r="AG837">
        <v>40</v>
      </c>
      <c r="AH837">
        <v>5</v>
      </c>
      <c r="AI837">
        <v>5</v>
      </c>
      <c r="AJ837">
        <v>0</v>
      </c>
      <c r="AK837">
        <v>7</v>
      </c>
      <c r="AL837" t="s">
        <v>1225</v>
      </c>
      <c r="AM837" t="s">
        <v>1226</v>
      </c>
      <c r="AN837" t="s">
        <v>1227</v>
      </c>
      <c r="AO837" t="s">
        <v>9405</v>
      </c>
      <c r="AP837" t="s">
        <v>74</v>
      </c>
      <c r="AQ837" t="s">
        <v>74</v>
      </c>
      <c r="AR837" t="s">
        <v>9406</v>
      </c>
      <c r="AS837" t="s">
        <v>9407</v>
      </c>
      <c r="AT837" t="s">
        <v>11681</v>
      </c>
      <c r="AU837">
        <v>2007</v>
      </c>
      <c r="AV837">
        <v>59</v>
      </c>
      <c r="AW837">
        <v>1</v>
      </c>
      <c r="AX837" t="s">
        <v>74</v>
      </c>
      <c r="AY837" t="s">
        <v>74</v>
      </c>
      <c r="AZ837" t="s">
        <v>74</v>
      </c>
      <c r="BA837" t="s">
        <v>74</v>
      </c>
      <c r="BB837">
        <v>130</v>
      </c>
      <c r="BC837">
        <v>137</v>
      </c>
      <c r="BD837" t="s">
        <v>74</v>
      </c>
      <c r="BE837" t="s">
        <v>13067</v>
      </c>
      <c r="BF837" t="str">
        <f>HYPERLINK("http://dx.doi.org/10.1111/j.1600-0889.2006.00240.x","http://dx.doi.org/10.1111/j.1600-0889.2006.00240.x")</f>
        <v>http://dx.doi.org/10.1111/j.1600-0889.2006.00240.x</v>
      </c>
      <c r="BG837" t="s">
        <v>74</v>
      </c>
      <c r="BH837" t="s">
        <v>74</v>
      </c>
      <c r="BI837">
        <v>8</v>
      </c>
      <c r="BJ837" t="s">
        <v>435</v>
      </c>
      <c r="BK837" t="s">
        <v>98</v>
      </c>
      <c r="BL837" t="s">
        <v>435</v>
      </c>
      <c r="BM837" t="s">
        <v>13054</v>
      </c>
      <c r="BN837" t="s">
        <v>74</v>
      </c>
      <c r="BO837" t="s">
        <v>577</v>
      </c>
      <c r="BP837" t="s">
        <v>74</v>
      </c>
      <c r="BQ837" t="s">
        <v>74</v>
      </c>
      <c r="BR837" t="s">
        <v>101</v>
      </c>
      <c r="BS837" t="s">
        <v>13068</v>
      </c>
      <c r="BT837" t="str">
        <f>HYPERLINK("https%3A%2F%2Fwww.webofscience.com%2Fwos%2Fwoscc%2Ffull-record%2FWOS:000243681100011","View Full Record in Web of Science")</f>
        <v>View Full Record in Web of Science</v>
      </c>
    </row>
    <row r="838" spans="1:72" x14ac:dyDescent="0.15">
      <c r="A838" t="s">
        <v>72</v>
      </c>
      <c r="B838" t="s">
        <v>13069</v>
      </c>
      <c r="C838" t="s">
        <v>74</v>
      </c>
      <c r="D838" t="s">
        <v>74</v>
      </c>
      <c r="E838" t="s">
        <v>74</v>
      </c>
      <c r="F838" t="s">
        <v>13070</v>
      </c>
      <c r="G838" t="s">
        <v>74</v>
      </c>
      <c r="H838" t="s">
        <v>74</v>
      </c>
      <c r="I838" t="s">
        <v>13071</v>
      </c>
      <c r="J838" t="s">
        <v>13072</v>
      </c>
      <c r="K838" t="s">
        <v>74</v>
      </c>
      <c r="L838" t="s">
        <v>74</v>
      </c>
      <c r="M838" t="s">
        <v>78</v>
      </c>
      <c r="N838" t="s">
        <v>79</v>
      </c>
      <c r="O838" t="s">
        <v>74</v>
      </c>
      <c r="P838" t="s">
        <v>74</v>
      </c>
      <c r="Q838" t="s">
        <v>74</v>
      </c>
      <c r="R838" t="s">
        <v>74</v>
      </c>
      <c r="S838" t="s">
        <v>74</v>
      </c>
      <c r="T838" t="s">
        <v>13073</v>
      </c>
      <c r="U838" t="s">
        <v>74</v>
      </c>
      <c r="V838" t="s">
        <v>13074</v>
      </c>
      <c r="W838" t="s">
        <v>13075</v>
      </c>
      <c r="X838" t="s">
        <v>74</v>
      </c>
      <c r="Y838" t="s">
        <v>13076</v>
      </c>
      <c r="Z838" t="s">
        <v>6594</v>
      </c>
      <c r="AA838" t="s">
        <v>6085</v>
      </c>
      <c r="AB838" t="s">
        <v>74</v>
      </c>
      <c r="AC838" t="s">
        <v>74</v>
      </c>
      <c r="AD838" t="s">
        <v>74</v>
      </c>
      <c r="AE838" t="s">
        <v>74</v>
      </c>
      <c r="AF838" t="s">
        <v>74</v>
      </c>
      <c r="AG838">
        <v>11</v>
      </c>
      <c r="AH838">
        <v>6</v>
      </c>
      <c r="AI838">
        <v>6</v>
      </c>
      <c r="AJ838">
        <v>0</v>
      </c>
      <c r="AK838">
        <v>2</v>
      </c>
      <c r="AL838" t="s">
        <v>1715</v>
      </c>
      <c r="AM838" t="s">
        <v>1504</v>
      </c>
      <c r="AN838" t="s">
        <v>1716</v>
      </c>
      <c r="AO838" t="s">
        <v>13077</v>
      </c>
      <c r="AP838" t="s">
        <v>13078</v>
      </c>
      <c r="AQ838" t="s">
        <v>74</v>
      </c>
      <c r="AR838" t="s">
        <v>13079</v>
      </c>
      <c r="AS838" t="s">
        <v>13080</v>
      </c>
      <c r="AT838" t="s">
        <v>11681</v>
      </c>
      <c r="AU838">
        <v>2007</v>
      </c>
      <c r="AV838">
        <v>149</v>
      </c>
      <c r="AW838">
        <v>2</v>
      </c>
      <c r="AX838" t="s">
        <v>74</v>
      </c>
      <c r="AY838" t="s">
        <v>74</v>
      </c>
      <c r="AZ838" t="s">
        <v>74</v>
      </c>
      <c r="BA838" t="s">
        <v>74</v>
      </c>
      <c r="BB838">
        <v>263</v>
      </c>
      <c r="BC838">
        <v>290</v>
      </c>
      <c r="BD838" t="s">
        <v>74</v>
      </c>
      <c r="BE838" t="s">
        <v>13081</v>
      </c>
      <c r="BF838" t="str">
        <f>HYPERLINK("http://dx.doi.org/10.1111/j.1096-3642.2007.00247.x","http://dx.doi.org/10.1111/j.1096-3642.2007.00247.x")</f>
        <v>http://dx.doi.org/10.1111/j.1096-3642.2007.00247.x</v>
      </c>
      <c r="BG838" t="s">
        <v>74</v>
      </c>
      <c r="BH838" t="s">
        <v>74</v>
      </c>
      <c r="BI838">
        <v>28</v>
      </c>
      <c r="BJ838" t="s">
        <v>507</v>
      </c>
      <c r="BK838" t="s">
        <v>98</v>
      </c>
      <c r="BL838" t="s">
        <v>507</v>
      </c>
      <c r="BM838" t="s">
        <v>13082</v>
      </c>
      <c r="BN838" t="s">
        <v>74</v>
      </c>
      <c r="BO838" t="s">
        <v>304</v>
      </c>
      <c r="BP838" t="s">
        <v>74</v>
      </c>
      <c r="BQ838" t="s">
        <v>74</v>
      </c>
      <c r="BR838" t="s">
        <v>101</v>
      </c>
      <c r="BS838" t="s">
        <v>13083</v>
      </c>
      <c r="BT838" t="str">
        <f>HYPERLINK("https%3A%2F%2Fwww.webofscience.com%2Fwos%2Fwoscc%2Ffull-record%2FWOS:000243793100004","View Full Record in Web of Science")</f>
        <v>View Full Record in Web of Science</v>
      </c>
    </row>
    <row r="839" spans="1:72" x14ac:dyDescent="0.15">
      <c r="A839" t="s">
        <v>72</v>
      </c>
      <c r="B839" t="s">
        <v>13084</v>
      </c>
      <c r="C839" t="s">
        <v>74</v>
      </c>
      <c r="D839" t="s">
        <v>74</v>
      </c>
      <c r="E839" t="s">
        <v>74</v>
      </c>
      <c r="F839" t="s">
        <v>13085</v>
      </c>
      <c r="G839" t="s">
        <v>74</v>
      </c>
      <c r="H839" t="s">
        <v>74</v>
      </c>
      <c r="I839" t="s">
        <v>13086</v>
      </c>
      <c r="J839" t="s">
        <v>13087</v>
      </c>
      <c r="K839" t="s">
        <v>74</v>
      </c>
      <c r="L839" t="s">
        <v>74</v>
      </c>
      <c r="M839" t="s">
        <v>13088</v>
      </c>
      <c r="N839" t="s">
        <v>79</v>
      </c>
      <c r="O839" t="s">
        <v>74</v>
      </c>
      <c r="P839" t="s">
        <v>74</v>
      </c>
      <c r="Q839" t="s">
        <v>74</v>
      </c>
      <c r="R839" t="s">
        <v>74</v>
      </c>
      <c r="S839" t="s">
        <v>74</v>
      </c>
      <c r="T839" t="s">
        <v>74</v>
      </c>
      <c r="U839" t="s">
        <v>74</v>
      </c>
      <c r="V839" t="s">
        <v>13089</v>
      </c>
      <c r="W839" t="s">
        <v>13090</v>
      </c>
      <c r="X839" t="s">
        <v>13091</v>
      </c>
      <c r="Y839" t="s">
        <v>13092</v>
      </c>
      <c r="Z839" t="s">
        <v>74</v>
      </c>
      <c r="AA839" t="s">
        <v>74</v>
      </c>
      <c r="AB839" t="s">
        <v>74</v>
      </c>
      <c r="AC839" t="s">
        <v>74</v>
      </c>
      <c r="AD839" t="s">
        <v>74</v>
      </c>
      <c r="AE839" t="s">
        <v>74</v>
      </c>
      <c r="AF839" t="s">
        <v>74</v>
      </c>
      <c r="AG839">
        <v>35</v>
      </c>
      <c r="AH839">
        <v>1</v>
      </c>
      <c r="AI839">
        <v>1</v>
      </c>
      <c r="AJ839">
        <v>0</v>
      </c>
      <c r="AK839">
        <v>1</v>
      </c>
      <c r="AL839" t="s">
        <v>13093</v>
      </c>
      <c r="AM839" t="s">
        <v>10859</v>
      </c>
      <c r="AN839" t="s">
        <v>13094</v>
      </c>
      <c r="AO839" t="s">
        <v>13095</v>
      </c>
      <c r="AP839" t="s">
        <v>74</v>
      </c>
      <c r="AQ839" t="s">
        <v>74</v>
      </c>
      <c r="AR839" t="s">
        <v>13096</v>
      </c>
      <c r="AS839" t="s">
        <v>13097</v>
      </c>
      <c r="AT839" t="s">
        <v>11681</v>
      </c>
      <c r="AU839">
        <v>2007</v>
      </c>
      <c r="AV839">
        <v>86</v>
      </c>
      <c r="AW839">
        <v>2</v>
      </c>
      <c r="AX839" t="s">
        <v>74</v>
      </c>
      <c r="AY839" t="s">
        <v>74</v>
      </c>
      <c r="AZ839" t="s">
        <v>74</v>
      </c>
      <c r="BA839" t="s">
        <v>74</v>
      </c>
      <c r="BB839">
        <v>167</v>
      </c>
      <c r="BC839">
        <v>183</v>
      </c>
      <c r="BD839" t="s">
        <v>74</v>
      </c>
      <c r="BE839" t="s">
        <v>74</v>
      </c>
      <c r="BF839" t="s">
        <v>74</v>
      </c>
      <c r="BG839" t="s">
        <v>74</v>
      </c>
      <c r="BH839" t="s">
        <v>74</v>
      </c>
      <c r="BI839">
        <v>17</v>
      </c>
      <c r="BJ839" t="s">
        <v>507</v>
      </c>
      <c r="BK839" t="s">
        <v>98</v>
      </c>
      <c r="BL839" t="s">
        <v>507</v>
      </c>
      <c r="BM839" t="s">
        <v>13098</v>
      </c>
      <c r="BN839" t="s">
        <v>74</v>
      </c>
      <c r="BO839" t="s">
        <v>74</v>
      </c>
      <c r="BP839" t="s">
        <v>74</v>
      </c>
      <c r="BQ839" t="s">
        <v>74</v>
      </c>
      <c r="BR839" t="s">
        <v>101</v>
      </c>
      <c r="BS839" t="s">
        <v>13099</v>
      </c>
      <c r="BT839" t="str">
        <f>HYPERLINK("https%3A%2F%2Fwww.webofscience.com%2Fwos%2Fwoscc%2Ffull-record%2FWOS:000244990100006","View Full Record in Web of Science")</f>
        <v>View Full Record in Web of Science</v>
      </c>
    </row>
    <row r="840" spans="1:72" x14ac:dyDescent="0.15">
      <c r="A840" t="s">
        <v>72</v>
      </c>
      <c r="B840" t="s">
        <v>13100</v>
      </c>
      <c r="C840" t="s">
        <v>74</v>
      </c>
      <c r="D840" t="s">
        <v>74</v>
      </c>
      <c r="E840" t="s">
        <v>74</v>
      </c>
      <c r="F840" t="s">
        <v>13101</v>
      </c>
      <c r="G840" t="s">
        <v>74</v>
      </c>
      <c r="H840" t="s">
        <v>74</v>
      </c>
      <c r="I840" t="s">
        <v>13102</v>
      </c>
      <c r="J840" t="s">
        <v>492</v>
      </c>
      <c r="K840" t="s">
        <v>74</v>
      </c>
      <c r="L840" t="s">
        <v>74</v>
      </c>
      <c r="M840" t="s">
        <v>78</v>
      </c>
      <c r="N840" t="s">
        <v>79</v>
      </c>
      <c r="O840" t="s">
        <v>74</v>
      </c>
      <c r="P840" t="s">
        <v>74</v>
      </c>
      <c r="Q840" t="s">
        <v>74</v>
      </c>
      <c r="R840" t="s">
        <v>74</v>
      </c>
      <c r="S840" t="s">
        <v>74</v>
      </c>
      <c r="T840" t="s">
        <v>13103</v>
      </c>
      <c r="U840" t="s">
        <v>13104</v>
      </c>
      <c r="V840" t="s">
        <v>13105</v>
      </c>
      <c r="W840" t="s">
        <v>13106</v>
      </c>
      <c r="X840" t="s">
        <v>13107</v>
      </c>
      <c r="Y840" t="s">
        <v>13108</v>
      </c>
      <c r="Z840" t="s">
        <v>13109</v>
      </c>
      <c r="AA840" t="s">
        <v>13110</v>
      </c>
      <c r="AB840" t="s">
        <v>4204</v>
      </c>
      <c r="AC840" t="s">
        <v>74</v>
      </c>
      <c r="AD840" t="s">
        <v>74</v>
      </c>
      <c r="AE840" t="s">
        <v>74</v>
      </c>
      <c r="AF840" t="s">
        <v>74</v>
      </c>
      <c r="AG840">
        <v>18</v>
      </c>
      <c r="AH840">
        <v>14</v>
      </c>
      <c r="AI840">
        <v>16</v>
      </c>
      <c r="AJ840">
        <v>0</v>
      </c>
      <c r="AK840">
        <v>0</v>
      </c>
      <c r="AL840" t="s">
        <v>500</v>
      </c>
      <c r="AM840" t="s">
        <v>501</v>
      </c>
      <c r="AN840" t="s">
        <v>502</v>
      </c>
      <c r="AO840" t="s">
        <v>503</v>
      </c>
      <c r="AP840" t="s">
        <v>504</v>
      </c>
      <c r="AQ840" t="s">
        <v>74</v>
      </c>
      <c r="AR840" t="s">
        <v>492</v>
      </c>
      <c r="AS840" t="s">
        <v>505</v>
      </c>
      <c r="AT840" t="s">
        <v>12385</v>
      </c>
      <c r="AU840">
        <v>2007</v>
      </c>
      <c r="AV840" t="s">
        <v>74</v>
      </c>
      <c r="AW840">
        <v>1402</v>
      </c>
      <c r="AX840" t="s">
        <v>74</v>
      </c>
      <c r="AY840" t="s">
        <v>74</v>
      </c>
      <c r="AZ840" t="s">
        <v>74</v>
      </c>
      <c r="BA840" t="s">
        <v>74</v>
      </c>
      <c r="BB840">
        <v>23</v>
      </c>
      <c r="BC840">
        <v>37</v>
      </c>
      <c r="BD840" t="s">
        <v>74</v>
      </c>
      <c r="BE840" t="s">
        <v>74</v>
      </c>
      <c r="BF840" t="s">
        <v>74</v>
      </c>
      <c r="BG840" t="s">
        <v>74</v>
      </c>
      <c r="BH840" t="s">
        <v>74</v>
      </c>
      <c r="BI840">
        <v>15</v>
      </c>
      <c r="BJ840" t="s">
        <v>507</v>
      </c>
      <c r="BK840" t="s">
        <v>98</v>
      </c>
      <c r="BL840" t="s">
        <v>507</v>
      </c>
      <c r="BM840" t="s">
        <v>13111</v>
      </c>
      <c r="BN840" t="s">
        <v>74</v>
      </c>
      <c r="BO840" t="s">
        <v>74</v>
      </c>
      <c r="BP840" t="s">
        <v>74</v>
      </c>
      <c r="BQ840" t="s">
        <v>74</v>
      </c>
      <c r="BR840" t="s">
        <v>101</v>
      </c>
      <c r="BS840" t="s">
        <v>13112</v>
      </c>
      <c r="BT840" t="str">
        <f>HYPERLINK("https%3A%2F%2Fwww.webofscience.com%2Fwos%2Fwoscc%2Ffull-record%2FWOS:000243923000002","View Full Record in Web of Science")</f>
        <v>View Full Record in Web of Science</v>
      </c>
    </row>
    <row r="841" spans="1:72" x14ac:dyDescent="0.15">
      <c r="A841" t="s">
        <v>72</v>
      </c>
      <c r="B841" t="s">
        <v>13113</v>
      </c>
      <c r="C841" t="s">
        <v>74</v>
      </c>
      <c r="D841" t="s">
        <v>74</v>
      </c>
      <c r="E841" t="s">
        <v>74</v>
      </c>
      <c r="F841" t="s">
        <v>13114</v>
      </c>
      <c r="G841" t="s">
        <v>74</v>
      </c>
      <c r="H841" t="s">
        <v>74</v>
      </c>
      <c r="I841" t="s">
        <v>13115</v>
      </c>
      <c r="J841" t="s">
        <v>492</v>
      </c>
      <c r="K841" t="s">
        <v>74</v>
      </c>
      <c r="L841" t="s">
        <v>74</v>
      </c>
      <c r="M841" t="s">
        <v>78</v>
      </c>
      <c r="N841" t="s">
        <v>79</v>
      </c>
      <c r="O841" t="s">
        <v>74</v>
      </c>
      <c r="P841" t="s">
        <v>74</v>
      </c>
      <c r="Q841" t="s">
        <v>74</v>
      </c>
      <c r="R841" t="s">
        <v>74</v>
      </c>
      <c r="S841" t="s">
        <v>74</v>
      </c>
      <c r="T841" t="s">
        <v>13116</v>
      </c>
      <c r="U841" t="s">
        <v>13117</v>
      </c>
      <c r="V841" t="s">
        <v>13118</v>
      </c>
      <c r="W841" t="s">
        <v>13119</v>
      </c>
      <c r="X841" t="s">
        <v>13120</v>
      </c>
      <c r="Y841" t="s">
        <v>13121</v>
      </c>
      <c r="Z841" t="s">
        <v>13122</v>
      </c>
      <c r="AA841" t="s">
        <v>74</v>
      </c>
      <c r="AB841" t="s">
        <v>74</v>
      </c>
      <c r="AC841" t="s">
        <v>74</v>
      </c>
      <c r="AD841" t="s">
        <v>74</v>
      </c>
      <c r="AE841" t="s">
        <v>74</v>
      </c>
      <c r="AF841" t="s">
        <v>74</v>
      </c>
      <c r="AG841">
        <v>60</v>
      </c>
      <c r="AH841">
        <v>1</v>
      </c>
      <c r="AI841">
        <v>2</v>
      </c>
      <c r="AJ841">
        <v>0</v>
      </c>
      <c r="AK841">
        <v>0</v>
      </c>
      <c r="AL841" t="s">
        <v>500</v>
      </c>
      <c r="AM841" t="s">
        <v>501</v>
      </c>
      <c r="AN841" t="s">
        <v>502</v>
      </c>
      <c r="AO841" t="s">
        <v>503</v>
      </c>
      <c r="AP841" t="s">
        <v>504</v>
      </c>
      <c r="AQ841" t="s">
        <v>74</v>
      </c>
      <c r="AR841" t="s">
        <v>492</v>
      </c>
      <c r="AS841" t="s">
        <v>505</v>
      </c>
      <c r="AT841" t="s">
        <v>12385</v>
      </c>
      <c r="AU841">
        <v>2007</v>
      </c>
      <c r="AV841" t="s">
        <v>74</v>
      </c>
      <c r="AW841">
        <v>1401</v>
      </c>
      <c r="AX841" t="s">
        <v>74</v>
      </c>
      <c r="AY841" t="s">
        <v>74</v>
      </c>
      <c r="AZ841" t="s">
        <v>74</v>
      </c>
      <c r="BA841" t="s">
        <v>74</v>
      </c>
      <c r="BB841">
        <v>33</v>
      </c>
      <c r="BC841">
        <v>51</v>
      </c>
      <c r="BD841" t="s">
        <v>74</v>
      </c>
      <c r="BE841" t="s">
        <v>74</v>
      </c>
      <c r="BF841" t="s">
        <v>74</v>
      </c>
      <c r="BG841" t="s">
        <v>74</v>
      </c>
      <c r="BH841" t="s">
        <v>74</v>
      </c>
      <c r="BI841">
        <v>19</v>
      </c>
      <c r="BJ841" t="s">
        <v>507</v>
      </c>
      <c r="BK841" t="s">
        <v>98</v>
      </c>
      <c r="BL841" t="s">
        <v>507</v>
      </c>
      <c r="BM841" t="s">
        <v>13123</v>
      </c>
      <c r="BN841" t="s">
        <v>74</v>
      </c>
      <c r="BO841" t="s">
        <v>74</v>
      </c>
      <c r="BP841" t="s">
        <v>74</v>
      </c>
      <c r="BQ841" t="s">
        <v>74</v>
      </c>
      <c r="BR841" t="s">
        <v>101</v>
      </c>
      <c r="BS841" t="s">
        <v>13124</v>
      </c>
      <c r="BT841" t="str">
        <f>HYPERLINK("https%3A%2F%2Fwww.webofscience.com%2Fwos%2Fwoscc%2Ffull-record%2FWOS:000243922700002","View Full Record in Web of Science")</f>
        <v>View Full Record in Web of Science</v>
      </c>
    </row>
    <row r="842" spans="1:72" x14ac:dyDescent="0.15">
      <c r="A842" t="s">
        <v>72</v>
      </c>
      <c r="B842" t="s">
        <v>13125</v>
      </c>
      <c r="C842" t="s">
        <v>74</v>
      </c>
      <c r="D842" t="s">
        <v>74</v>
      </c>
      <c r="E842" t="s">
        <v>74</v>
      </c>
      <c r="F842" t="s">
        <v>13126</v>
      </c>
      <c r="G842" t="s">
        <v>74</v>
      </c>
      <c r="H842" t="s">
        <v>74</v>
      </c>
      <c r="I842" t="s">
        <v>13127</v>
      </c>
      <c r="J842" t="s">
        <v>1046</v>
      </c>
      <c r="K842" t="s">
        <v>74</v>
      </c>
      <c r="L842" t="s">
        <v>74</v>
      </c>
      <c r="M842" t="s">
        <v>78</v>
      </c>
      <c r="N842" t="s">
        <v>79</v>
      </c>
      <c r="O842" t="s">
        <v>74</v>
      </c>
      <c r="P842" t="s">
        <v>74</v>
      </c>
      <c r="Q842" t="s">
        <v>74</v>
      </c>
      <c r="R842" t="s">
        <v>74</v>
      </c>
      <c r="S842" t="s">
        <v>74</v>
      </c>
      <c r="T842" t="s">
        <v>13128</v>
      </c>
      <c r="U842" t="s">
        <v>13129</v>
      </c>
      <c r="V842" t="s">
        <v>13130</v>
      </c>
      <c r="W842" t="s">
        <v>13131</v>
      </c>
      <c r="X842" t="s">
        <v>13132</v>
      </c>
      <c r="Y842" t="s">
        <v>13133</v>
      </c>
      <c r="Z842" t="s">
        <v>9228</v>
      </c>
      <c r="AA842" t="s">
        <v>9229</v>
      </c>
      <c r="AB842" t="s">
        <v>13134</v>
      </c>
      <c r="AC842" t="s">
        <v>9231</v>
      </c>
      <c r="AD842" t="s">
        <v>9232</v>
      </c>
      <c r="AE842" t="s">
        <v>74</v>
      </c>
      <c r="AF842" t="s">
        <v>74</v>
      </c>
      <c r="AG842">
        <v>56</v>
      </c>
      <c r="AH842">
        <v>31</v>
      </c>
      <c r="AI842">
        <v>33</v>
      </c>
      <c r="AJ842">
        <v>0</v>
      </c>
      <c r="AK842">
        <v>15</v>
      </c>
      <c r="AL842" t="s">
        <v>141</v>
      </c>
      <c r="AM842" t="s">
        <v>142</v>
      </c>
      <c r="AN842" t="s">
        <v>143</v>
      </c>
      <c r="AO842" t="s">
        <v>1054</v>
      </c>
      <c r="AP842" t="s">
        <v>74</v>
      </c>
      <c r="AQ842" t="s">
        <v>74</v>
      </c>
      <c r="AR842" t="s">
        <v>1055</v>
      </c>
      <c r="AS842" t="s">
        <v>1056</v>
      </c>
      <c r="AT842" t="s">
        <v>13135</v>
      </c>
      <c r="AU842">
        <v>2007</v>
      </c>
      <c r="AV842">
        <v>8</v>
      </c>
      <c r="AW842" t="s">
        <v>74</v>
      </c>
      <c r="AX842" t="s">
        <v>74</v>
      </c>
      <c r="AY842" t="s">
        <v>74</v>
      </c>
      <c r="AZ842" t="s">
        <v>74</v>
      </c>
      <c r="BA842" t="s">
        <v>74</v>
      </c>
      <c r="BB842" t="s">
        <v>74</v>
      </c>
      <c r="BC842" t="s">
        <v>74</v>
      </c>
      <c r="BD842" t="s">
        <v>13136</v>
      </c>
      <c r="BE842" t="s">
        <v>13137</v>
      </c>
      <c r="BF842" t="str">
        <f>HYPERLINK("http://dx.doi.org/10.1029/2006GC001321","http://dx.doi.org/10.1029/2006GC001321")</f>
        <v>http://dx.doi.org/10.1029/2006GC001321</v>
      </c>
      <c r="BG842" t="s">
        <v>74</v>
      </c>
      <c r="BH842" t="s">
        <v>74</v>
      </c>
      <c r="BI842">
        <v>11</v>
      </c>
      <c r="BJ842" t="s">
        <v>688</v>
      </c>
      <c r="BK842" t="s">
        <v>98</v>
      </c>
      <c r="BL842" t="s">
        <v>688</v>
      </c>
      <c r="BM842" t="s">
        <v>13138</v>
      </c>
      <c r="BN842" t="s">
        <v>74</v>
      </c>
      <c r="BO842" t="s">
        <v>11310</v>
      </c>
      <c r="BP842" t="s">
        <v>74</v>
      </c>
      <c r="BQ842" t="s">
        <v>74</v>
      </c>
      <c r="BR842" t="s">
        <v>101</v>
      </c>
      <c r="BS842" t="s">
        <v>13139</v>
      </c>
      <c r="BT842" t="str">
        <f>HYPERLINK("https%3A%2F%2Fwww.webofscience.com%2Fwos%2Fwoscc%2Ffull-record%2FWOS:000244040700001","View Full Record in Web of Science")</f>
        <v>View Full Record in Web of Science</v>
      </c>
    </row>
    <row r="843" spans="1:72" x14ac:dyDescent="0.15">
      <c r="A843" t="s">
        <v>72</v>
      </c>
      <c r="B843" t="s">
        <v>13140</v>
      </c>
      <c r="C843" t="s">
        <v>74</v>
      </c>
      <c r="D843" t="s">
        <v>74</v>
      </c>
      <c r="E843" t="s">
        <v>74</v>
      </c>
      <c r="F843" t="s">
        <v>13141</v>
      </c>
      <c r="G843" t="s">
        <v>74</v>
      </c>
      <c r="H843" t="s">
        <v>74</v>
      </c>
      <c r="I843" t="s">
        <v>13142</v>
      </c>
      <c r="J843" t="s">
        <v>13143</v>
      </c>
      <c r="K843" t="s">
        <v>74</v>
      </c>
      <c r="L843" t="s">
        <v>74</v>
      </c>
      <c r="M843" t="s">
        <v>78</v>
      </c>
      <c r="N843" t="s">
        <v>620</v>
      </c>
      <c r="O843" t="s">
        <v>74</v>
      </c>
      <c r="P843" t="s">
        <v>74</v>
      </c>
      <c r="Q843" t="s">
        <v>74</v>
      </c>
      <c r="R843" t="s">
        <v>74</v>
      </c>
      <c r="S843" t="s">
        <v>74</v>
      </c>
      <c r="T843" t="s">
        <v>74</v>
      </c>
      <c r="U843" t="s">
        <v>74</v>
      </c>
      <c r="V843" t="s">
        <v>74</v>
      </c>
      <c r="W843" t="s">
        <v>4766</v>
      </c>
      <c r="X843" t="s">
        <v>1988</v>
      </c>
      <c r="Y843" t="s">
        <v>13144</v>
      </c>
      <c r="Z843" t="s">
        <v>13145</v>
      </c>
      <c r="AA843" t="s">
        <v>74</v>
      </c>
      <c r="AB843" t="s">
        <v>74</v>
      </c>
      <c r="AC843" t="s">
        <v>74</v>
      </c>
      <c r="AD843" t="s">
        <v>74</v>
      </c>
      <c r="AE843" t="s">
        <v>74</v>
      </c>
      <c r="AF843" t="s">
        <v>74</v>
      </c>
      <c r="AG843">
        <v>0</v>
      </c>
      <c r="AH843">
        <v>0</v>
      </c>
      <c r="AI843">
        <v>0</v>
      </c>
      <c r="AJ843">
        <v>0</v>
      </c>
      <c r="AK843">
        <v>3</v>
      </c>
      <c r="AL843" t="s">
        <v>386</v>
      </c>
      <c r="AM843" t="s">
        <v>363</v>
      </c>
      <c r="AN843" t="s">
        <v>387</v>
      </c>
      <c r="AO843" t="s">
        <v>13146</v>
      </c>
      <c r="AP843" t="s">
        <v>74</v>
      </c>
      <c r="AQ843" t="s">
        <v>74</v>
      </c>
      <c r="AR843" t="s">
        <v>13147</v>
      </c>
      <c r="AS843" t="s">
        <v>13148</v>
      </c>
      <c r="AT843" t="s">
        <v>13149</v>
      </c>
      <c r="AU843">
        <v>2007</v>
      </c>
      <c r="AV843">
        <v>362</v>
      </c>
      <c r="AW843">
        <v>1477</v>
      </c>
      <c r="AX843" t="s">
        <v>74</v>
      </c>
      <c r="AY843" t="s">
        <v>74</v>
      </c>
      <c r="AZ843" t="s">
        <v>74</v>
      </c>
      <c r="BA843" t="s">
        <v>74</v>
      </c>
      <c r="BB843">
        <v>3</v>
      </c>
      <c r="BC843">
        <v>3</v>
      </c>
      <c r="BD843" t="s">
        <v>74</v>
      </c>
      <c r="BE843" t="s">
        <v>13150</v>
      </c>
      <c r="BF843" t="str">
        <f>HYPERLINK("http://dx.doi.org/10.1098/rstb.2006.1959","http://dx.doi.org/10.1098/rstb.2006.1959")</f>
        <v>http://dx.doi.org/10.1098/rstb.2006.1959</v>
      </c>
      <c r="BG843" t="s">
        <v>74</v>
      </c>
      <c r="BH843" t="s">
        <v>74</v>
      </c>
      <c r="BI843">
        <v>1</v>
      </c>
      <c r="BJ843" t="s">
        <v>794</v>
      </c>
      <c r="BK843" t="s">
        <v>98</v>
      </c>
      <c r="BL843" t="s">
        <v>795</v>
      </c>
      <c r="BM843" t="s">
        <v>13151</v>
      </c>
      <c r="BN843" t="s">
        <v>74</v>
      </c>
      <c r="BO843" t="s">
        <v>9787</v>
      </c>
      <c r="BP843" t="s">
        <v>74</v>
      </c>
      <c r="BQ843" t="s">
        <v>74</v>
      </c>
      <c r="BR843" t="s">
        <v>101</v>
      </c>
      <c r="BS843" t="s">
        <v>13152</v>
      </c>
      <c r="BT843" t="str">
        <f>HYPERLINK("https%3A%2F%2Fwww.webofscience.com%2Fwos%2Fwoscc%2Ffull-record%2FWOS:000243528200001","View Full Record in Web of Science")</f>
        <v>View Full Record in Web of Science</v>
      </c>
    </row>
    <row r="844" spans="1:72" x14ac:dyDescent="0.15">
      <c r="A844" t="s">
        <v>72</v>
      </c>
      <c r="B844" t="s">
        <v>13153</v>
      </c>
      <c r="C844" t="s">
        <v>74</v>
      </c>
      <c r="D844" t="s">
        <v>74</v>
      </c>
      <c r="E844" t="s">
        <v>74</v>
      </c>
      <c r="F844" t="s">
        <v>13154</v>
      </c>
      <c r="G844" t="s">
        <v>74</v>
      </c>
      <c r="H844" t="s">
        <v>74</v>
      </c>
      <c r="I844" t="s">
        <v>13155</v>
      </c>
      <c r="J844" t="s">
        <v>13143</v>
      </c>
      <c r="K844" t="s">
        <v>74</v>
      </c>
      <c r="L844" t="s">
        <v>74</v>
      </c>
      <c r="M844" t="s">
        <v>78</v>
      </c>
      <c r="N844" t="s">
        <v>620</v>
      </c>
      <c r="O844" t="s">
        <v>74</v>
      </c>
      <c r="P844" t="s">
        <v>74</v>
      </c>
      <c r="Q844" t="s">
        <v>74</v>
      </c>
      <c r="R844" t="s">
        <v>74</v>
      </c>
      <c r="S844" t="s">
        <v>74</v>
      </c>
      <c r="T844" t="s">
        <v>13156</v>
      </c>
      <c r="U844" t="s">
        <v>13157</v>
      </c>
      <c r="V844" t="s">
        <v>13158</v>
      </c>
      <c r="W844" t="s">
        <v>13159</v>
      </c>
      <c r="X844" t="s">
        <v>13160</v>
      </c>
      <c r="Y844" t="s">
        <v>13161</v>
      </c>
      <c r="Z844" t="s">
        <v>13162</v>
      </c>
      <c r="AA844" t="s">
        <v>7319</v>
      </c>
      <c r="AB844" t="s">
        <v>13163</v>
      </c>
      <c r="AC844" t="s">
        <v>13164</v>
      </c>
      <c r="AD844" t="s">
        <v>361</v>
      </c>
      <c r="AE844" t="s">
        <v>74</v>
      </c>
      <c r="AF844" t="s">
        <v>74</v>
      </c>
      <c r="AG844">
        <v>48</v>
      </c>
      <c r="AH844">
        <v>29</v>
      </c>
      <c r="AI844">
        <v>36</v>
      </c>
      <c r="AJ844">
        <v>2</v>
      </c>
      <c r="AK844">
        <v>36</v>
      </c>
      <c r="AL844" t="s">
        <v>386</v>
      </c>
      <c r="AM844" t="s">
        <v>363</v>
      </c>
      <c r="AN844" t="s">
        <v>387</v>
      </c>
      <c r="AO844" t="s">
        <v>13146</v>
      </c>
      <c r="AP844" t="s">
        <v>13165</v>
      </c>
      <c r="AQ844" t="s">
        <v>74</v>
      </c>
      <c r="AR844" t="s">
        <v>13147</v>
      </c>
      <c r="AS844" t="s">
        <v>13148</v>
      </c>
      <c r="AT844" t="s">
        <v>13149</v>
      </c>
      <c r="AU844">
        <v>2007</v>
      </c>
      <c r="AV844">
        <v>362</v>
      </c>
      <c r="AW844">
        <v>1477</v>
      </c>
      <c r="AX844" t="s">
        <v>74</v>
      </c>
      <c r="AY844" t="s">
        <v>74</v>
      </c>
      <c r="AZ844" t="s">
        <v>74</v>
      </c>
      <c r="BA844" t="s">
        <v>74</v>
      </c>
      <c r="BB844">
        <v>5</v>
      </c>
      <c r="BC844">
        <v>9</v>
      </c>
      <c r="BD844" t="s">
        <v>74</v>
      </c>
      <c r="BE844" t="s">
        <v>13166</v>
      </c>
      <c r="BF844" t="str">
        <f>HYPERLINK("http://dx.doi.org/10.1098/rstb.2006.1943","http://dx.doi.org/10.1098/rstb.2006.1943")</f>
        <v>http://dx.doi.org/10.1098/rstb.2006.1943</v>
      </c>
      <c r="BG844" t="s">
        <v>74</v>
      </c>
      <c r="BH844" t="s">
        <v>74</v>
      </c>
      <c r="BI844">
        <v>5</v>
      </c>
      <c r="BJ844" t="s">
        <v>794</v>
      </c>
      <c r="BK844" t="s">
        <v>98</v>
      </c>
      <c r="BL844" t="s">
        <v>795</v>
      </c>
      <c r="BM844" t="s">
        <v>13151</v>
      </c>
      <c r="BN844">
        <v>17405205</v>
      </c>
      <c r="BO844" t="s">
        <v>304</v>
      </c>
      <c r="BP844" t="s">
        <v>74</v>
      </c>
      <c r="BQ844" t="s">
        <v>74</v>
      </c>
      <c r="BR844" t="s">
        <v>101</v>
      </c>
      <c r="BS844" t="s">
        <v>13167</v>
      </c>
      <c r="BT844" t="str">
        <f>HYPERLINK("https%3A%2F%2Fwww.webofscience.com%2Fwos%2Fwoscc%2Ffull-record%2FWOS:000243528200002","View Full Record in Web of Science")</f>
        <v>View Full Record in Web of Science</v>
      </c>
    </row>
    <row r="845" spans="1:72" x14ac:dyDescent="0.15">
      <c r="A845" t="s">
        <v>72</v>
      </c>
      <c r="B845" t="s">
        <v>13168</v>
      </c>
      <c r="C845" t="s">
        <v>74</v>
      </c>
      <c r="D845" t="s">
        <v>74</v>
      </c>
      <c r="E845" t="s">
        <v>74</v>
      </c>
      <c r="F845" t="s">
        <v>13169</v>
      </c>
      <c r="G845" t="s">
        <v>74</v>
      </c>
      <c r="H845" t="s">
        <v>74</v>
      </c>
      <c r="I845" t="s">
        <v>13170</v>
      </c>
      <c r="J845" t="s">
        <v>13143</v>
      </c>
      <c r="K845" t="s">
        <v>74</v>
      </c>
      <c r="L845" t="s">
        <v>74</v>
      </c>
      <c r="M845" t="s">
        <v>78</v>
      </c>
      <c r="N845" t="s">
        <v>248</v>
      </c>
      <c r="O845" t="s">
        <v>74</v>
      </c>
      <c r="P845" t="s">
        <v>74</v>
      </c>
      <c r="Q845" t="s">
        <v>74</v>
      </c>
      <c r="R845" t="s">
        <v>74</v>
      </c>
      <c r="S845" t="s">
        <v>74</v>
      </c>
      <c r="T845" t="s">
        <v>13171</v>
      </c>
      <c r="U845" t="s">
        <v>13172</v>
      </c>
      <c r="V845" t="s">
        <v>13173</v>
      </c>
      <c r="W845" t="s">
        <v>13174</v>
      </c>
      <c r="X845" t="s">
        <v>1988</v>
      </c>
      <c r="Y845" t="s">
        <v>13175</v>
      </c>
      <c r="Z845" t="s">
        <v>4202</v>
      </c>
      <c r="AA845" t="s">
        <v>74</v>
      </c>
      <c r="AB845" t="s">
        <v>74</v>
      </c>
      <c r="AC845" t="s">
        <v>4205</v>
      </c>
      <c r="AD845" t="s">
        <v>361</v>
      </c>
      <c r="AE845" t="s">
        <v>74</v>
      </c>
      <c r="AF845" t="s">
        <v>74</v>
      </c>
      <c r="AG845">
        <v>255</v>
      </c>
      <c r="AH845">
        <v>148</v>
      </c>
      <c r="AI845">
        <v>158</v>
      </c>
      <c r="AJ845">
        <v>6</v>
      </c>
      <c r="AK845">
        <v>116</v>
      </c>
      <c r="AL845" t="s">
        <v>386</v>
      </c>
      <c r="AM845" t="s">
        <v>363</v>
      </c>
      <c r="AN845" t="s">
        <v>387</v>
      </c>
      <c r="AO845" t="s">
        <v>13146</v>
      </c>
      <c r="AP845" t="s">
        <v>13165</v>
      </c>
      <c r="AQ845" t="s">
        <v>74</v>
      </c>
      <c r="AR845" t="s">
        <v>13147</v>
      </c>
      <c r="AS845" t="s">
        <v>13148</v>
      </c>
      <c r="AT845" t="s">
        <v>13149</v>
      </c>
      <c r="AU845">
        <v>2007</v>
      </c>
      <c r="AV845">
        <v>362</v>
      </c>
      <c r="AW845">
        <v>1477</v>
      </c>
      <c r="AX845" t="s">
        <v>74</v>
      </c>
      <c r="AY845" t="s">
        <v>74</v>
      </c>
      <c r="AZ845" t="s">
        <v>74</v>
      </c>
      <c r="BA845" t="s">
        <v>74</v>
      </c>
      <c r="BB845">
        <v>11</v>
      </c>
      <c r="BC845">
        <v>38</v>
      </c>
      <c r="BD845" t="s">
        <v>74</v>
      </c>
      <c r="BE845" t="s">
        <v>13176</v>
      </c>
      <c r="BF845" t="str">
        <f>HYPERLINK("http://dx.doi.org/10.1098/rstb.2006.1951","http://dx.doi.org/10.1098/rstb.2006.1951")</f>
        <v>http://dx.doi.org/10.1098/rstb.2006.1951</v>
      </c>
      <c r="BG845" t="s">
        <v>74</v>
      </c>
      <c r="BH845" t="s">
        <v>74</v>
      </c>
      <c r="BI845">
        <v>28</v>
      </c>
      <c r="BJ845" t="s">
        <v>794</v>
      </c>
      <c r="BK845" t="s">
        <v>98</v>
      </c>
      <c r="BL845" t="s">
        <v>795</v>
      </c>
      <c r="BM845" t="s">
        <v>13151</v>
      </c>
      <c r="BN845">
        <v>17405206</v>
      </c>
      <c r="BO845" t="s">
        <v>198</v>
      </c>
      <c r="BP845" t="s">
        <v>74</v>
      </c>
      <c r="BQ845" t="s">
        <v>74</v>
      </c>
      <c r="BR845" t="s">
        <v>101</v>
      </c>
      <c r="BS845" t="s">
        <v>13177</v>
      </c>
      <c r="BT845" t="str">
        <f>HYPERLINK("https%3A%2F%2Fwww.webofscience.com%2Fwos%2Fwoscc%2Ffull-record%2FWOS:000243528200003","View Full Record in Web of Science")</f>
        <v>View Full Record in Web of Science</v>
      </c>
    </row>
    <row r="846" spans="1:72" x14ac:dyDescent="0.15">
      <c r="A846" t="s">
        <v>72</v>
      </c>
      <c r="B846" t="s">
        <v>13178</v>
      </c>
      <c r="C846" t="s">
        <v>74</v>
      </c>
      <c r="D846" t="s">
        <v>74</v>
      </c>
      <c r="E846" t="s">
        <v>74</v>
      </c>
      <c r="F846" t="s">
        <v>13179</v>
      </c>
      <c r="G846" t="s">
        <v>74</v>
      </c>
      <c r="H846" t="s">
        <v>74</v>
      </c>
      <c r="I846" t="s">
        <v>13180</v>
      </c>
      <c r="J846" t="s">
        <v>13143</v>
      </c>
      <c r="K846" t="s">
        <v>74</v>
      </c>
      <c r="L846" t="s">
        <v>74</v>
      </c>
      <c r="M846" t="s">
        <v>78</v>
      </c>
      <c r="N846" t="s">
        <v>248</v>
      </c>
      <c r="O846" t="s">
        <v>74</v>
      </c>
      <c r="P846" t="s">
        <v>74</v>
      </c>
      <c r="Q846" t="s">
        <v>74</v>
      </c>
      <c r="R846" t="s">
        <v>74</v>
      </c>
      <c r="S846" t="s">
        <v>74</v>
      </c>
      <c r="T846" t="s">
        <v>13181</v>
      </c>
      <c r="U846" t="s">
        <v>13182</v>
      </c>
      <c r="V846" t="s">
        <v>13183</v>
      </c>
      <c r="W846" t="s">
        <v>13184</v>
      </c>
      <c r="X846" t="s">
        <v>13185</v>
      </c>
      <c r="Y846" t="s">
        <v>13186</v>
      </c>
      <c r="Z846" t="s">
        <v>6594</v>
      </c>
      <c r="AA846" t="s">
        <v>13187</v>
      </c>
      <c r="AB846" t="s">
        <v>13188</v>
      </c>
      <c r="AC846" t="s">
        <v>74</v>
      </c>
      <c r="AD846" t="s">
        <v>74</v>
      </c>
      <c r="AE846" t="s">
        <v>74</v>
      </c>
      <c r="AF846" t="s">
        <v>74</v>
      </c>
      <c r="AG846">
        <v>244</v>
      </c>
      <c r="AH846">
        <v>139</v>
      </c>
      <c r="AI846">
        <v>148</v>
      </c>
      <c r="AJ846">
        <v>5</v>
      </c>
      <c r="AK846">
        <v>91</v>
      </c>
      <c r="AL846" t="s">
        <v>386</v>
      </c>
      <c r="AM846" t="s">
        <v>363</v>
      </c>
      <c r="AN846" t="s">
        <v>387</v>
      </c>
      <c r="AO846" t="s">
        <v>13146</v>
      </c>
      <c r="AP846" t="s">
        <v>13165</v>
      </c>
      <c r="AQ846" t="s">
        <v>74</v>
      </c>
      <c r="AR846" t="s">
        <v>13147</v>
      </c>
      <c r="AS846" t="s">
        <v>13148</v>
      </c>
      <c r="AT846" t="s">
        <v>13149</v>
      </c>
      <c r="AU846">
        <v>2007</v>
      </c>
      <c r="AV846">
        <v>362</v>
      </c>
      <c r="AW846">
        <v>1477</v>
      </c>
      <c r="AX846" t="s">
        <v>74</v>
      </c>
      <c r="AY846" t="s">
        <v>74</v>
      </c>
      <c r="AZ846" t="s">
        <v>74</v>
      </c>
      <c r="BA846" t="s">
        <v>74</v>
      </c>
      <c r="BB846">
        <v>39</v>
      </c>
      <c r="BC846">
        <v>66</v>
      </c>
      <c r="BD846" t="s">
        <v>74</v>
      </c>
      <c r="BE846" t="s">
        <v>13189</v>
      </c>
      <c r="BF846" t="str">
        <f>HYPERLINK("http://dx.doi.org/10.1098/rstb.2006.1952","http://dx.doi.org/10.1098/rstb.2006.1952")</f>
        <v>http://dx.doi.org/10.1098/rstb.2006.1952</v>
      </c>
      <c r="BG846" t="s">
        <v>74</v>
      </c>
      <c r="BH846" t="s">
        <v>74</v>
      </c>
      <c r="BI846">
        <v>28</v>
      </c>
      <c r="BJ846" t="s">
        <v>794</v>
      </c>
      <c r="BK846" t="s">
        <v>98</v>
      </c>
      <c r="BL846" t="s">
        <v>795</v>
      </c>
      <c r="BM846" t="s">
        <v>13151</v>
      </c>
      <c r="BN846">
        <v>17405207</v>
      </c>
      <c r="BO846" t="s">
        <v>198</v>
      </c>
      <c r="BP846" t="s">
        <v>74</v>
      </c>
      <c r="BQ846" t="s">
        <v>74</v>
      </c>
      <c r="BR846" t="s">
        <v>101</v>
      </c>
      <c r="BS846" t="s">
        <v>13190</v>
      </c>
      <c r="BT846" t="str">
        <f>HYPERLINK("https%3A%2F%2Fwww.webofscience.com%2Fwos%2Fwoscc%2Ffull-record%2FWOS:000243528200004","View Full Record in Web of Science")</f>
        <v>View Full Record in Web of Science</v>
      </c>
    </row>
    <row r="847" spans="1:72" x14ac:dyDescent="0.15">
      <c r="A847" t="s">
        <v>72</v>
      </c>
      <c r="B847" t="s">
        <v>13191</v>
      </c>
      <c r="C847" t="s">
        <v>74</v>
      </c>
      <c r="D847" t="s">
        <v>74</v>
      </c>
      <c r="E847" t="s">
        <v>74</v>
      </c>
      <c r="F847" t="s">
        <v>13192</v>
      </c>
      <c r="G847" t="s">
        <v>74</v>
      </c>
      <c r="H847" t="s">
        <v>74</v>
      </c>
      <c r="I847" t="s">
        <v>13193</v>
      </c>
      <c r="J847" t="s">
        <v>13143</v>
      </c>
      <c r="K847" t="s">
        <v>74</v>
      </c>
      <c r="L847" t="s">
        <v>74</v>
      </c>
      <c r="M847" t="s">
        <v>78</v>
      </c>
      <c r="N847" t="s">
        <v>248</v>
      </c>
      <c r="O847" t="s">
        <v>74</v>
      </c>
      <c r="P847" t="s">
        <v>74</v>
      </c>
      <c r="Q847" t="s">
        <v>74</v>
      </c>
      <c r="R847" t="s">
        <v>74</v>
      </c>
      <c r="S847" t="s">
        <v>74</v>
      </c>
      <c r="T847" t="s">
        <v>13194</v>
      </c>
      <c r="U847" t="s">
        <v>13195</v>
      </c>
      <c r="V847" t="s">
        <v>13196</v>
      </c>
      <c r="W847" t="s">
        <v>13197</v>
      </c>
      <c r="X847" t="s">
        <v>13198</v>
      </c>
      <c r="Y847" t="s">
        <v>13199</v>
      </c>
      <c r="Z847" t="s">
        <v>13200</v>
      </c>
      <c r="AA847" t="s">
        <v>74</v>
      </c>
      <c r="AB847" t="s">
        <v>13201</v>
      </c>
      <c r="AC847" t="s">
        <v>74</v>
      </c>
      <c r="AD847" t="s">
        <v>74</v>
      </c>
      <c r="AE847" t="s">
        <v>74</v>
      </c>
      <c r="AF847" t="s">
        <v>74</v>
      </c>
      <c r="AG847">
        <v>209</v>
      </c>
      <c r="AH847">
        <v>487</v>
      </c>
      <c r="AI847">
        <v>553</v>
      </c>
      <c r="AJ847">
        <v>5</v>
      </c>
      <c r="AK847">
        <v>238</v>
      </c>
      <c r="AL847" t="s">
        <v>386</v>
      </c>
      <c r="AM847" t="s">
        <v>363</v>
      </c>
      <c r="AN847" t="s">
        <v>387</v>
      </c>
      <c r="AO847" t="s">
        <v>13146</v>
      </c>
      <c r="AP847" t="s">
        <v>13165</v>
      </c>
      <c r="AQ847" t="s">
        <v>74</v>
      </c>
      <c r="AR847" t="s">
        <v>13147</v>
      </c>
      <c r="AS847" t="s">
        <v>13148</v>
      </c>
      <c r="AT847" t="s">
        <v>13149</v>
      </c>
      <c r="AU847">
        <v>2007</v>
      </c>
      <c r="AV847">
        <v>362</v>
      </c>
      <c r="AW847">
        <v>1477</v>
      </c>
      <c r="AX847" t="s">
        <v>74</v>
      </c>
      <c r="AY847" t="s">
        <v>74</v>
      </c>
      <c r="AZ847" t="s">
        <v>74</v>
      </c>
      <c r="BA847" t="s">
        <v>74</v>
      </c>
      <c r="BB847">
        <v>67</v>
      </c>
      <c r="BC847">
        <v>94</v>
      </c>
      <c r="BD847" t="s">
        <v>74</v>
      </c>
      <c r="BE847" t="s">
        <v>13202</v>
      </c>
      <c r="BF847" t="str">
        <f>HYPERLINK("http://dx.doi.org/10.1098/rstb.2006.1955","http://dx.doi.org/10.1098/rstb.2006.1955")</f>
        <v>http://dx.doi.org/10.1098/rstb.2006.1955</v>
      </c>
      <c r="BG847" t="s">
        <v>74</v>
      </c>
      <c r="BH847" t="s">
        <v>74</v>
      </c>
      <c r="BI847">
        <v>28</v>
      </c>
      <c r="BJ847" t="s">
        <v>794</v>
      </c>
      <c r="BK847" t="s">
        <v>98</v>
      </c>
      <c r="BL847" t="s">
        <v>795</v>
      </c>
      <c r="BM847" t="s">
        <v>13151</v>
      </c>
      <c r="BN847">
        <v>17405208</v>
      </c>
      <c r="BO847" t="s">
        <v>1745</v>
      </c>
      <c r="BP847" t="s">
        <v>74</v>
      </c>
      <c r="BQ847" t="s">
        <v>74</v>
      </c>
      <c r="BR847" t="s">
        <v>101</v>
      </c>
      <c r="BS847" t="s">
        <v>13203</v>
      </c>
      <c r="BT847" t="str">
        <f>HYPERLINK("https%3A%2F%2Fwww.webofscience.com%2Fwos%2Fwoscc%2Ffull-record%2FWOS:000243528200005","View Full Record in Web of Science")</f>
        <v>View Full Record in Web of Science</v>
      </c>
    </row>
    <row r="848" spans="1:72" x14ac:dyDescent="0.15">
      <c r="A848" t="s">
        <v>72</v>
      </c>
      <c r="B848" t="s">
        <v>13204</v>
      </c>
      <c r="C848" t="s">
        <v>74</v>
      </c>
      <c r="D848" t="s">
        <v>74</v>
      </c>
      <c r="E848" t="s">
        <v>74</v>
      </c>
      <c r="F848" t="s">
        <v>13205</v>
      </c>
      <c r="G848" t="s">
        <v>74</v>
      </c>
      <c r="H848" t="s">
        <v>74</v>
      </c>
      <c r="I848" t="s">
        <v>13206</v>
      </c>
      <c r="J848" t="s">
        <v>13143</v>
      </c>
      <c r="K848" t="s">
        <v>74</v>
      </c>
      <c r="L848" t="s">
        <v>74</v>
      </c>
      <c r="M848" t="s">
        <v>78</v>
      </c>
      <c r="N848" t="s">
        <v>248</v>
      </c>
      <c r="O848" t="s">
        <v>74</v>
      </c>
      <c r="P848" t="s">
        <v>74</v>
      </c>
      <c r="Q848" t="s">
        <v>74</v>
      </c>
      <c r="R848" t="s">
        <v>74</v>
      </c>
      <c r="S848" t="s">
        <v>74</v>
      </c>
      <c r="T848" t="s">
        <v>13207</v>
      </c>
      <c r="U848" t="s">
        <v>13208</v>
      </c>
      <c r="V848" t="s">
        <v>13209</v>
      </c>
      <c r="W848" t="s">
        <v>13210</v>
      </c>
      <c r="X848" t="s">
        <v>13211</v>
      </c>
      <c r="Y848" t="s">
        <v>2086</v>
      </c>
      <c r="Z848" t="s">
        <v>2087</v>
      </c>
      <c r="AA848" t="s">
        <v>74</v>
      </c>
      <c r="AB848" t="s">
        <v>74</v>
      </c>
      <c r="AC848" t="s">
        <v>74</v>
      </c>
      <c r="AD848" t="s">
        <v>74</v>
      </c>
      <c r="AE848" t="s">
        <v>74</v>
      </c>
      <c r="AF848" t="s">
        <v>74</v>
      </c>
      <c r="AG848">
        <v>162</v>
      </c>
      <c r="AH848">
        <v>148</v>
      </c>
      <c r="AI848">
        <v>158</v>
      </c>
      <c r="AJ848">
        <v>3</v>
      </c>
      <c r="AK848">
        <v>94</v>
      </c>
      <c r="AL848" t="s">
        <v>386</v>
      </c>
      <c r="AM848" t="s">
        <v>363</v>
      </c>
      <c r="AN848" t="s">
        <v>387</v>
      </c>
      <c r="AO848" t="s">
        <v>13146</v>
      </c>
      <c r="AP848" t="s">
        <v>13165</v>
      </c>
      <c r="AQ848" t="s">
        <v>74</v>
      </c>
      <c r="AR848" t="s">
        <v>13147</v>
      </c>
      <c r="AS848" t="s">
        <v>13148</v>
      </c>
      <c r="AT848" t="s">
        <v>13149</v>
      </c>
      <c r="AU848">
        <v>2007</v>
      </c>
      <c r="AV848">
        <v>362</v>
      </c>
      <c r="AW848">
        <v>1477</v>
      </c>
      <c r="AX848" t="s">
        <v>74</v>
      </c>
      <c r="AY848" t="s">
        <v>74</v>
      </c>
      <c r="AZ848" t="s">
        <v>74</v>
      </c>
      <c r="BA848" t="s">
        <v>74</v>
      </c>
      <c r="BB848">
        <v>95</v>
      </c>
      <c r="BC848">
        <v>111</v>
      </c>
      <c r="BD848" t="s">
        <v>74</v>
      </c>
      <c r="BE848" t="s">
        <v>13212</v>
      </c>
      <c r="BF848" t="str">
        <f>HYPERLINK("http://dx.doi.org/10.1098/rstb.2006.1956","http://dx.doi.org/10.1098/rstb.2006.1956")</f>
        <v>http://dx.doi.org/10.1098/rstb.2006.1956</v>
      </c>
      <c r="BG848" t="s">
        <v>74</v>
      </c>
      <c r="BH848" t="s">
        <v>74</v>
      </c>
      <c r="BI848">
        <v>17</v>
      </c>
      <c r="BJ848" t="s">
        <v>794</v>
      </c>
      <c r="BK848" t="s">
        <v>98</v>
      </c>
      <c r="BL848" t="s">
        <v>795</v>
      </c>
      <c r="BM848" t="s">
        <v>13151</v>
      </c>
      <c r="BN848">
        <v>17405209</v>
      </c>
      <c r="BO848" t="s">
        <v>198</v>
      </c>
      <c r="BP848" t="s">
        <v>74</v>
      </c>
      <c r="BQ848" t="s">
        <v>74</v>
      </c>
      <c r="BR848" t="s">
        <v>101</v>
      </c>
      <c r="BS848" t="s">
        <v>13213</v>
      </c>
      <c r="BT848" t="str">
        <f>HYPERLINK("https%3A%2F%2Fwww.webofscience.com%2Fwos%2Fwoscc%2Ffull-record%2FWOS:000243528200006","View Full Record in Web of Science")</f>
        <v>View Full Record in Web of Science</v>
      </c>
    </row>
    <row r="849" spans="1:72" x14ac:dyDescent="0.15">
      <c r="A849" t="s">
        <v>72</v>
      </c>
      <c r="B849" t="s">
        <v>13214</v>
      </c>
      <c r="C849" t="s">
        <v>74</v>
      </c>
      <c r="D849" t="s">
        <v>74</v>
      </c>
      <c r="E849" t="s">
        <v>74</v>
      </c>
      <c r="F849" t="s">
        <v>13215</v>
      </c>
      <c r="G849" t="s">
        <v>74</v>
      </c>
      <c r="H849" t="s">
        <v>74</v>
      </c>
      <c r="I849" t="s">
        <v>13216</v>
      </c>
      <c r="J849" t="s">
        <v>13143</v>
      </c>
      <c r="K849" t="s">
        <v>74</v>
      </c>
      <c r="L849" t="s">
        <v>74</v>
      </c>
      <c r="M849" t="s">
        <v>78</v>
      </c>
      <c r="N849" t="s">
        <v>248</v>
      </c>
      <c r="O849" t="s">
        <v>74</v>
      </c>
      <c r="P849" t="s">
        <v>74</v>
      </c>
      <c r="Q849" t="s">
        <v>74</v>
      </c>
      <c r="R849" t="s">
        <v>74</v>
      </c>
      <c r="S849" t="s">
        <v>74</v>
      </c>
      <c r="T849" t="s">
        <v>13217</v>
      </c>
      <c r="U849" t="s">
        <v>13218</v>
      </c>
      <c r="V849" t="s">
        <v>13219</v>
      </c>
      <c r="W849" t="s">
        <v>4766</v>
      </c>
      <c r="X849" t="s">
        <v>1988</v>
      </c>
      <c r="Y849" t="s">
        <v>13220</v>
      </c>
      <c r="Z849" t="s">
        <v>13221</v>
      </c>
      <c r="AA849" t="s">
        <v>13222</v>
      </c>
      <c r="AB849" t="s">
        <v>13223</v>
      </c>
      <c r="AC849" t="s">
        <v>1737</v>
      </c>
      <c r="AD849" t="s">
        <v>361</v>
      </c>
      <c r="AE849" t="s">
        <v>74</v>
      </c>
      <c r="AF849" t="s">
        <v>74</v>
      </c>
      <c r="AG849">
        <v>310</v>
      </c>
      <c r="AH849">
        <v>284</v>
      </c>
      <c r="AI849">
        <v>303</v>
      </c>
      <c r="AJ849">
        <v>4</v>
      </c>
      <c r="AK849">
        <v>136</v>
      </c>
      <c r="AL849" t="s">
        <v>386</v>
      </c>
      <c r="AM849" t="s">
        <v>363</v>
      </c>
      <c r="AN849" t="s">
        <v>387</v>
      </c>
      <c r="AO849" t="s">
        <v>13146</v>
      </c>
      <c r="AP849" t="s">
        <v>13165</v>
      </c>
      <c r="AQ849" t="s">
        <v>74</v>
      </c>
      <c r="AR849" t="s">
        <v>13147</v>
      </c>
      <c r="AS849" t="s">
        <v>13148</v>
      </c>
      <c r="AT849" t="s">
        <v>13149</v>
      </c>
      <c r="AU849">
        <v>2007</v>
      </c>
      <c r="AV849">
        <v>362</v>
      </c>
      <c r="AW849">
        <v>1477</v>
      </c>
      <c r="AX849" t="s">
        <v>74</v>
      </c>
      <c r="AY849" t="s">
        <v>74</v>
      </c>
      <c r="AZ849" t="s">
        <v>74</v>
      </c>
      <c r="BA849" t="s">
        <v>74</v>
      </c>
      <c r="BB849">
        <v>113</v>
      </c>
      <c r="BC849">
        <v>148</v>
      </c>
      <c r="BD849" t="s">
        <v>74</v>
      </c>
      <c r="BE849" t="s">
        <v>13224</v>
      </c>
      <c r="BF849" t="str">
        <f>HYPERLINK("http://dx.doi.org/10.1098/rstb.2006.1957","http://dx.doi.org/10.1098/rstb.2006.1957")</f>
        <v>http://dx.doi.org/10.1098/rstb.2006.1957</v>
      </c>
      <c r="BG849" t="s">
        <v>74</v>
      </c>
      <c r="BH849" t="s">
        <v>74</v>
      </c>
      <c r="BI849">
        <v>36</v>
      </c>
      <c r="BJ849" t="s">
        <v>794</v>
      </c>
      <c r="BK849" t="s">
        <v>98</v>
      </c>
      <c r="BL849" t="s">
        <v>795</v>
      </c>
      <c r="BM849" t="s">
        <v>13151</v>
      </c>
      <c r="BN849">
        <v>17405210</v>
      </c>
      <c r="BO849" t="s">
        <v>198</v>
      </c>
      <c r="BP849" t="s">
        <v>74</v>
      </c>
      <c r="BQ849" t="s">
        <v>74</v>
      </c>
      <c r="BR849" t="s">
        <v>101</v>
      </c>
      <c r="BS849" t="s">
        <v>13225</v>
      </c>
      <c r="BT849" t="str">
        <f>HYPERLINK("https%3A%2F%2Fwww.webofscience.com%2Fwos%2Fwoscc%2Ffull-record%2FWOS:000243528200007","View Full Record in Web of Science")</f>
        <v>View Full Record in Web of Science</v>
      </c>
    </row>
    <row r="850" spans="1:72" x14ac:dyDescent="0.15">
      <c r="A850" t="s">
        <v>72</v>
      </c>
      <c r="B850" t="s">
        <v>13226</v>
      </c>
      <c r="C850" t="s">
        <v>74</v>
      </c>
      <c r="D850" t="s">
        <v>74</v>
      </c>
      <c r="E850" t="s">
        <v>74</v>
      </c>
      <c r="F850" t="s">
        <v>13227</v>
      </c>
      <c r="G850" t="s">
        <v>74</v>
      </c>
      <c r="H850" t="s">
        <v>74</v>
      </c>
      <c r="I850" t="s">
        <v>13228</v>
      </c>
      <c r="J850" t="s">
        <v>13143</v>
      </c>
      <c r="K850" t="s">
        <v>74</v>
      </c>
      <c r="L850" t="s">
        <v>74</v>
      </c>
      <c r="M850" t="s">
        <v>78</v>
      </c>
      <c r="N850" t="s">
        <v>248</v>
      </c>
      <c r="O850" t="s">
        <v>74</v>
      </c>
      <c r="P850" t="s">
        <v>74</v>
      </c>
      <c r="Q850" t="s">
        <v>74</v>
      </c>
      <c r="R850" t="s">
        <v>74</v>
      </c>
      <c r="S850" t="s">
        <v>74</v>
      </c>
      <c r="T850" t="s">
        <v>13229</v>
      </c>
      <c r="U850" t="s">
        <v>13230</v>
      </c>
      <c r="V850" t="s">
        <v>13231</v>
      </c>
      <c r="W850" t="s">
        <v>13232</v>
      </c>
      <c r="X850" t="s">
        <v>13233</v>
      </c>
      <c r="Y850" t="s">
        <v>13161</v>
      </c>
      <c r="Z850" t="s">
        <v>13162</v>
      </c>
      <c r="AA850" t="s">
        <v>7319</v>
      </c>
      <c r="AB850" t="s">
        <v>13234</v>
      </c>
      <c r="AC850" t="s">
        <v>480</v>
      </c>
      <c r="AD850" t="s">
        <v>140</v>
      </c>
      <c r="AE850" t="s">
        <v>74</v>
      </c>
      <c r="AF850" t="s">
        <v>74</v>
      </c>
      <c r="AG850">
        <v>201</v>
      </c>
      <c r="AH850">
        <v>289</v>
      </c>
      <c r="AI850">
        <v>325</v>
      </c>
      <c r="AJ850">
        <v>4</v>
      </c>
      <c r="AK850">
        <v>142</v>
      </c>
      <c r="AL850" t="s">
        <v>386</v>
      </c>
      <c r="AM850" t="s">
        <v>363</v>
      </c>
      <c r="AN850" t="s">
        <v>387</v>
      </c>
      <c r="AO850" t="s">
        <v>13146</v>
      </c>
      <c r="AP850" t="s">
        <v>13165</v>
      </c>
      <c r="AQ850" t="s">
        <v>74</v>
      </c>
      <c r="AR850" t="s">
        <v>13147</v>
      </c>
      <c r="AS850" t="s">
        <v>13148</v>
      </c>
      <c r="AT850" t="s">
        <v>13149</v>
      </c>
      <c r="AU850">
        <v>2007</v>
      </c>
      <c r="AV850">
        <v>362</v>
      </c>
      <c r="AW850">
        <v>1477</v>
      </c>
      <c r="AX850" t="s">
        <v>74</v>
      </c>
      <c r="AY850" t="s">
        <v>74</v>
      </c>
      <c r="AZ850" t="s">
        <v>74</v>
      </c>
      <c r="BA850" t="s">
        <v>74</v>
      </c>
      <c r="BB850">
        <v>149</v>
      </c>
      <c r="BC850">
        <v>166</v>
      </c>
      <c r="BD850" t="s">
        <v>74</v>
      </c>
      <c r="BE850" t="s">
        <v>13235</v>
      </c>
      <c r="BF850" t="str">
        <f>HYPERLINK("http://dx.doi.org/10.1098/rstb.2006.1958","http://dx.doi.org/10.1098/rstb.2006.1958")</f>
        <v>http://dx.doi.org/10.1098/rstb.2006.1958</v>
      </c>
      <c r="BG850" t="s">
        <v>74</v>
      </c>
      <c r="BH850" t="s">
        <v>74</v>
      </c>
      <c r="BI850">
        <v>18</v>
      </c>
      <c r="BJ850" t="s">
        <v>794</v>
      </c>
      <c r="BK850" t="s">
        <v>98</v>
      </c>
      <c r="BL850" t="s">
        <v>795</v>
      </c>
      <c r="BM850" t="s">
        <v>13151</v>
      </c>
      <c r="BN850">
        <v>17405211</v>
      </c>
      <c r="BO850" t="s">
        <v>198</v>
      </c>
      <c r="BP850" t="s">
        <v>74</v>
      </c>
      <c r="BQ850" t="s">
        <v>74</v>
      </c>
      <c r="BR850" t="s">
        <v>101</v>
      </c>
      <c r="BS850" t="s">
        <v>13236</v>
      </c>
      <c r="BT850" t="str">
        <f>HYPERLINK("https%3A%2F%2Fwww.webofscience.com%2Fwos%2Fwoscc%2Ffull-record%2FWOS:000243528200008","View Full Record in Web of Science")</f>
        <v>View Full Record in Web of Science</v>
      </c>
    </row>
    <row r="851" spans="1:72" x14ac:dyDescent="0.15">
      <c r="A851" t="s">
        <v>72</v>
      </c>
      <c r="B851" t="s">
        <v>13237</v>
      </c>
      <c r="C851" t="s">
        <v>74</v>
      </c>
      <c r="D851" t="s">
        <v>74</v>
      </c>
      <c r="E851" t="s">
        <v>74</v>
      </c>
      <c r="F851" t="s">
        <v>13238</v>
      </c>
      <c r="G851" t="s">
        <v>74</v>
      </c>
      <c r="H851" t="s">
        <v>74</v>
      </c>
      <c r="I851" t="s">
        <v>13239</v>
      </c>
      <c r="J851" t="s">
        <v>203</v>
      </c>
      <c r="K851" t="s">
        <v>74</v>
      </c>
      <c r="L851" t="s">
        <v>74</v>
      </c>
      <c r="M851" t="s">
        <v>78</v>
      </c>
      <c r="N851" t="s">
        <v>79</v>
      </c>
      <c r="O851" t="s">
        <v>74</v>
      </c>
      <c r="P851" t="s">
        <v>74</v>
      </c>
      <c r="Q851" t="s">
        <v>74</v>
      </c>
      <c r="R851" t="s">
        <v>74</v>
      </c>
      <c r="S851" t="s">
        <v>74</v>
      </c>
      <c r="T851" t="s">
        <v>74</v>
      </c>
      <c r="U851" t="s">
        <v>13240</v>
      </c>
      <c r="V851" t="s">
        <v>13241</v>
      </c>
      <c r="W851" t="s">
        <v>13242</v>
      </c>
      <c r="X851" t="s">
        <v>13243</v>
      </c>
      <c r="Y851" t="s">
        <v>13244</v>
      </c>
      <c r="Z851" t="s">
        <v>13245</v>
      </c>
      <c r="AA851" t="s">
        <v>13246</v>
      </c>
      <c r="AB851" t="s">
        <v>13247</v>
      </c>
      <c r="AC851" t="s">
        <v>13248</v>
      </c>
      <c r="AD851" t="s">
        <v>361</v>
      </c>
      <c r="AE851" t="s">
        <v>74</v>
      </c>
      <c r="AF851" t="s">
        <v>74</v>
      </c>
      <c r="AG851">
        <v>37</v>
      </c>
      <c r="AH851">
        <v>48</v>
      </c>
      <c r="AI851">
        <v>50</v>
      </c>
      <c r="AJ851">
        <v>0</v>
      </c>
      <c r="AK851">
        <v>15</v>
      </c>
      <c r="AL851" t="s">
        <v>141</v>
      </c>
      <c r="AM851" t="s">
        <v>142</v>
      </c>
      <c r="AN851" t="s">
        <v>143</v>
      </c>
      <c r="AO851" t="s">
        <v>213</v>
      </c>
      <c r="AP851" t="s">
        <v>214</v>
      </c>
      <c r="AQ851" t="s">
        <v>74</v>
      </c>
      <c r="AR851" t="s">
        <v>215</v>
      </c>
      <c r="AS851" t="s">
        <v>216</v>
      </c>
      <c r="AT851" t="s">
        <v>13249</v>
      </c>
      <c r="AU851">
        <v>2007</v>
      </c>
      <c r="AV851">
        <v>112</v>
      </c>
      <c r="AW851" t="s">
        <v>13250</v>
      </c>
      <c r="AX851" t="s">
        <v>74</v>
      </c>
      <c r="AY851" t="s">
        <v>74</v>
      </c>
      <c r="AZ851" t="s">
        <v>74</v>
      </c>
      <c r="BA851" t="s">
        <v>74</v>
      </c>
      <c r="BB851" t="s">
        <v>74</v>
      </c>
      <c r="BC851" t="s">
        <v>74</v>
      </c>
      <c r="BD851" t="s">
        <v>13251</v>
      </c>
      <c r="BE851" t="s">
        <v>13252</v>
      </c>
      <c r="BF851" t="str">
        <f>HYPERLINK("http://dx.doi.org/10.1029/2005JC003386","http://dx.doi.org/10.1029/2005JC003386")</f>
        <v>http://dx.doi.org/10.1029/2005JC003386</v>
      </c>
      <c r="BG851" t="s">
        <v>74</v>
      </c>
      <c r="BH851" t="s">
        <v>74</v>
      </c>
      <c r="BI851">
        <v>18</v>
      </c>
      <c r="BJ851" t="s">
        <v>221</v>
      </c>
      <c r="BK851" t="s">
        <v>98</v>
      </c>
      <c r="BL851" t="s">
        <v>221</v>
      </c>
      <c r="BM851" t="s">
        <v>13253</v>
      </c>
      <c r="BN851" t="s">
        <v>74</v>
      </c>
      <c r="BO851" t="s">
        <v>223</v>
      </c>
      <c r="BP851" t="s">
        <v>74</v>
      </c>
      <c r="BQ851" t="s">
        <v>74</v>
      </c>
      <c r="BR851" t="s">
        <v>101</v>
      </c>
      <c r="BS851" t="s">
        <v>13254</v>
      </c>
      <c r="BT851" t="str">
        <f>HYPERLINK("https%3A%2F%2Fwww.webofscience.com%2Fwos%2Fwoscc%2Ffull-record%2FWOS:000243876700001","View Full Record in Web of Science")</f>
        <v>View Full Record in Web of Science</v>
      </c>
    </row>
    <row r="852" spans="1:72" x14ac:dyDescent="0.15">
      <c r="A852" t="s">
        <v>72</v>
      </c>
      <c r="B852" t="s">
        <v>13255</v>
      </c>
      <c r="C852" t="s">
        <v>74</v>
      </c>
      <c r="D852" t="s">
        <v>74</v>
      </c>
      <c r="E852" t="s">
        <v>74</v>
      </c>
      <c r="F852" t="s">
        <v>13256</v>
      </c>
      <c r="G852" t="s">
        <v>74</v>
      </c>
      <c r="H852" t="s">
        <v>74</v>
      </c>
      <c r="I852" t="s">
        <v>13257</v>
      </c>
      <c r="J852" t="s">
        <v>13258</v>
      </c>
      <c r="K852" t="s">
        <v>74</v>
      </c>
      <c r="L852" t="s">
        <v>74</v>
      </c>
      <c r="M852" t="s">
        <v>78</v>
      </c>
      <c r="N852" t="s">
        <v>79</v>
      </c>
      <c r="O852" t="s">
        <v>74</v>
      </c>
      <c r="P852" t="s">
        <v>74</v>
      </c>
      <c r="Q852" t="s">
        <v>74</v>
      </c>
      <c r="R852" t="s">
        <v>74</v>
      </c>
      <c r="S852" t="s">
        <v>74</v>
      </c>
      <c r="T852" t="s">
        <v>74</v>
      </c>
      <c r="U852" t="s">
        <v>13259</v>
      </c>
      <c r="V852" t="s">
        <v>13260</v>
      </c>
      <c r="W852" t="s">
        <v>13261</v>
      </c>
      <c r="X852" t="s">
        <v>3744</v>
      </c>
      <c r="Y852" t="s">
        <v>13262</v>
      </c>
      <c r="Z852" t="s">
        <v>13263</v>
      </c>
      <c r="AA852" t="s">
        <v>13264</v>
      </c>
      <c r="AB852" t="s">
        <v>13265</v>
      </c>
      <c r="AC852" t="s">
        <v>74</v>
      </c>
      <c r="AD852" t="s">
        <v>74</v>
      </c>
      <c r="AE852" t="s">
        <v>74</v>
      </c>
      <c r="AF852" t="s">
        <v>74</v>
      </c>
      <c r="AG852">
        <v>24</v>
      </c>
      <c r="AH852">
        <v>19</v>
      </c>
      <c r="AI852">
        <v>23</v>
      </c>
      <c r="AJ852">
        <v>0</v>
      </c>
      <c r="AK852">
        <v>6</v>
      </c>
      <c r="AL852" t="s">
        <v>13266</v>
      </c>
      <c r="AM852" t="s">
        <v>13267</v>
      </c>
      <c r="AN852" t="s">
        <v>13268</v>
      </c>
      <c r="AO852" t="s">
        <v>13269</v>
      </c>
      <c r="AP852" t="s">
        <v>74</v>
      </c>
      <c r="AQ852" t="s">
        <v>74</v>
      </c>
      <c r="AR852" t="s">
        <v>13270</v>
      </c>
      <c r="AS852" t="s">
        <v>13271</v>
      </c>
      <c r="AT852" t="s">
        <v>13272</v>
      </c>
      <c r="AU852">
        <v>2007</v>
      </c>
      <c r="AV852">
        <v>7</v>
      </c>
      <c r="AW852" t="s">
        <v>74</v>
      </c>
      <c r="AX852" t="s">
        <v>74</v>
      </c>
      <c r="AY852" t="s">
        <v>74</v>
      </c>
      <c r="AZ852" t="s">
        <v>74</v>
      </c>
      <c r="BA852" t="s">
        <v>74</v>
      </c>
      <c r="BB852">
        <v>435</v>
      </c>
      <c r="BC852">
        <v>441</v>
      </c>
      <c r="BD852" t="s">
        <v>74</v>
      </c>
      <c r="BE852" t="s">
        <v>13273</v>
      </c>
      <c r="BF852" t="str">
        <f>HYPERLINK("http://dx.doi.org/10.5194/acp-7-435-2007","http://dx.doi.org/10.5194/acp-7-435-2007")</f>
        <v>http://dx.doi.org/10.5194/acp-7-435-2007</v>
      </c>
      <c r="BG852" t="s">
        <v>74</v>
      </c>
      <c r="BH852" t="s">
        <v>74</v>
      </c>
      <c r="BI852">
        <v>7</v>
      </c>
      <c r="BJ852" t="s">
        <v>1511</v>
      </c>
      <c r="BK852" t="s">
        <v>98</v>
      </c>
      <c r="BL852" t="s">
        <v>1512</v>
      </c>
      <c r="BM852" t="s">
        <v>13274</v>
      </c>
      <c r="BN852" t="s">
        <v>74</v>
      </c>
      <c r="BO852" t="s">
        <v>13275</v>
      </c>
      <c r="BP852" t="s">
        <v>74</v>
      </c>
      <c r="BQ852" t="s">
        <v>74</v>
      </c>
      <c r="BR852" t="s">
        <v>101</v>
      </c>
      <c r="BS852" t="s">
        <v>13276</v>
      </c>
      <c r="BT852" t="str">
        <f>HYPERLINK("https%3A%2F%2Fwww.webofscience.com%2Fwos%2Fwoscc%2Ffull-record%2FWOS:000243747800002","View Full Record in Web of Science")</f>
        <v>View Full Record in Web of Science</v>
      </c>
    </row>
    <row r="853" spans="1:72" x14ac:dyDescent="0.15">
      <c r="A853" t="s">
        <v>72</v>
      </c>
      <c r="B853" t="s">
        <v>13277</v>
      </c>
      <c r="C853" t="s">
        <v>74</v>
      </c>
      <c r="D853" t="s">
        <v>74</v>
      </c>
      <c r="E853" t="s">
        <v>74</v>
      </c>
      <c r="F853" t="s">
        <v>13278</v>
      </c>
      <c r="G853" t="s">
        <v>74</v>
      </c>
      <c r="H853" t="s">
        <v>74</v>
      </c>
      <c r="I853" t="s">
        <v>13279</v>
      </c>
      <c r="J853" t="s">
        <v>130</v>
      </c>
      <c r="K853" t="s">
        <v>74</v>
      </c>
      <c r="L853" t="s">
        <v>74</v>
      </c>
      <c r="M853" t="s">
        <v>78</v>
      </c>
      <c r="N853" t="s">
        <v>79</v>
      </c>
      <c r="O853" t="s">
        <v>74</v>
      </c>
      <c r="P853" t="s">
        <v>74</v>
      </c>
      <c r="Q853" t="s">
        <v>74</v>
      </c>
      <c r="R853" t="s">
        <v>74</v>
      </c>
      <c r="S853" t="s">
        <v>74</v>
      </c>
      <c r="T853" t="s">
        <v>74</v>
      </c>
      <c r="U853" t="s">
        <v>13280</v>
      </c>
      <c r="V853" t="s">
        <v>13281</v>
      </c>
      <c r="W853" t="s">
        <v>13282</v>
      </c>
      <c r="X853" t="s">
        <v>13283</v>
      </c>
      <c r="Y853" t="s">
        <v>13284</v>
      </c>
      <c r="Z853" t="s">
        <v>13285</v>
      </c>
      <c r="AA853" t="s">
        <v>13286</v>
      </c>
      <c r="AB853" t="s">
        <v>13287</v>
      </c>
      <c r="AC853" t="s">
        <v>74</v>
      </c>
      <c r="AD853" t="s">
        <v>74</v>
      </c>
      <c r="AE853" t="s">
        <v>74</v>
      </c>
      <c r="AF853" t="s">
        <v>74</v>
      </c>
      <c r="AG853">
        <v>18</v>
      </c>
      <c r="AH853">
        <v>35</v>
      </c>
      <c r="AI853">
        <v>38</v>
      </c>
      <c r="AJ853">
        <v>0</v>
      </c>
      <c r="AK853">
        <v>2</v>
      </c>
      <c r="AL853" t="s">
        <v>141</v>
      </c>
      <c r="AM853" t="s">
        <v>142</v>
      </c>
      <c r="AN853" t="s">
        <v>143</v>
      </c>
      <c r="AO853" t="s">
        <v>144</v>
      </c>
      <c r="AP853" t="s">
        <v>145</v>
      </c>
      <c r="AQ853" t="s">
        <v>74</v>
      </c>
      <c r="AR853" t="s">
        <v>146</v>
      </c>
      <c r="AS853" t="s">
        <v>147</v>
      </c>
      <c r="AT853" t="s">
        <v>13272</v>
      </c>
      <c r="AU853">
        <v>2007</v>
      </c>
      <c r="AV853">
        <v>34</v>
      </c>
      <c r="AW853">
        <v>2</v>
      </c>
      <c r="AX853" t="s">
        <v>74</v>
      </c>
      <c r="AY853" t="s">
        <v>74</v>
      </c>
      <c r="AZ853" t="s">
        <v>74</v>
      </c>
      <c r="BA853" t="s">
        <v>74</v>
      </c>
      <c r="BB853" t="s">
        <v>74</v>
      </c>
      <c r="BC853" t="s">
        <v>74</v>
      </c>
      <c r="BD853" t="s">
        <v>13288</v>
      </c>
      <c r="BE853" t="s">
        <v>13289</v>
      </c>
      <c r="BF853" t="str">
        <f>HYPERLINK("http://dx.doi.org/10.1029/2006GL028254","http://dx.doi.org/10.1029/2006GL028254")</f>
        <v>http://dx.doi.org/10.1029/2006GL028254</v>
      </c>
      <c r="BG853" t="s">
        <v>74</v>
      </c>
      <c r="BH853" t="s">
        <v>74</v>
      </c>
      <c r="BI853">
        <v>5</v>
      </c>
      <c r="BJ853" t="s">
        <v>151</v>
      </c>
      <c r="BK853" t="s">
        <v>98</v>
      </c>
      <c r="BL853" t="s">
        <v>152</v>
      </c>
      <c r="BM853" t="s">
        <v>13290</v>
      </c>
      <c r="BN853" t="s">
        <v>74</v>
      </c>
      <c r="BO853" t="s">
        <v>198</v>
      </c>
      <c r="BP853" t="s">
        <v>74</v>
      </c>
      <c r="BQ853" t="s">
        <v>74</v>
      </c>
      <c r="BR853" t="s">
        <v>101</v>
      </c>
      <c r="BS853" t="s">
        <v>13291</v>
      </c>
      <c r="BT853" t="str">
        <f>HYPERLINK("https%3A%2F%2Fwww.webofscience.com%2Fwos%2Fwoscc%2Ffull-record%2FWOS:000243874900004","View Full Record in Web of Science")</f>
        <v>View Full Record in Web of Science</v>
      </c>
    </row>
    <row r="854" spans="1:72" x14ac:dyDescent="0.15">
      <c r="A854" t="s">
        <v>72</v>
      </c>
      <c r="B854" t="s">
        <v>13292</v>
      </c>
      <c r="C854" t="s">
        <v>74</v>
      </c>
      <c r="D854" t="s">
        <v>74</v>
      </c>
      <c r="E854" t="s">
        <v>74</v>
      </c>
      <c r="F854" t="s">
        <v>13293</v>
      </c>
      <c r="G854" t="s">
        <v>74</v>
      </c>
      <c r="H854" t="s">
        <v>74</v>
      </c>
      <c r="I854" t="s">
        <v>13294</v>
      </c>
      <c r="J854" t="s">
        <v>262</v>
      </c>
      <c r="K854" t="s">
        <v>74</v>
      </c>
      <c r="L854" t="s">
        <v>74</v>
      </c>
      <c r="M854" t="s">
        <v>78</v>
      </c>
      <c r="N854" t="s">
        <v>79</v>
      </c>
      <c r="O854" t="s">
        <v>74</v>
      </c>
      <c r="P854" t="s">
        <v>74</v>
      </c>
      <c r="Q854" t="s">
        <v>74</v>
      </c>
      <c r="R854" t="s">
        <v>74</v>
      </c>
      <c r="S854" t="s">
        <v>74</v>
      </c>
      <c r="T854" t="s">
        <v>13295</v>
      </c>
      <c r="U854" t="s">
        <v>13296</v>
      </c>
      <c r="V854" t="s">
        <v>13297</v>
      </c>
      <c r="W854" t="s">
        <v>13298</v>
      </c>
      <c r="X854" t="s">
        <v>267</v>
      </c>
      <c r="Y854" t="s">
        <v>13299</v>
      </c>
      <c r="Z854" t="s">
        <v>13300</v>
      </c>
      <c r="AA854" t="s">
        <v>13301</v>
      </c>
      <c r="AB854" t="s">
        <v>13302</v>
      </c>
      <c r="AC854" t="s">
        <v>74</v>
      </c>
      <c r="AD854" t="s">
        <v>74</v>
      </c>
      <c r="AE854" t="s">
        <v>74</v>
      </c>
      <c r="AF854" t="s">
        <v>74</v>
      </c>
      <c r="AG854">
        <v>55</v>
      </c>
      <c r="AH854">
        <v>33</v>
      </c>
      <c r="AI854">
        <v>34</v>
      </c>
      <c r="AJ854">
        <v>0</v>
      </c>
      <c r="AK854">
        <v>13</v>
      </c>
      <c r="AL854" t="s">
        <v>272</v>
      </c>
      <c r="AM854" t="s">
        <v>273</v>
      </c>
      <c r="AN854" t="s">
        <v>274</v>
      </c>
      <c r="AO854" t="s">
        <v>275</v>
      </c>
      <c r="AP854" t="s">
        <v>276</v>
      </c>
      <c r="AQ854" t="s">
        <v>74</v>
      </c>
      <c r="AR854" t="s">
        <v>277</v>
      </c>
      <c r="AS854" t="s">
        <v>278</v>
      </c>
      <c r="AT854" t="s">
        <v>13303</v>
      </c>
      <c r="AU854">
        <v>2007</v>
      </c>
      <c r="AV854">
        <v>340</v>
      </c>
      <c r="AW854">
        <v>2</v>
      </c>
      <c r="AX854" t="s">
        <v>74</v>
      </c>
      <c r="AY854" t="s">
        <v>74</v>
      </c>
      <c r="AZ854" t="s">
        <v>74</v>
      </c>
      <c r="BA854" t="s">
        <v>74</v>
      </c>
      <c r="BB854">
        <v>213</v>
      </c>
      <c r="BC854">
        <v>226</v>
      </c>
      <c r="BD854" t="s">
        <v>74</v>
      </c>
      <c r="BE854" t="s">
        <v>13304</v>
      </c>
      <c r="BF854" t="str">
        <f>HYPERLINK("http://dx.doi.org/10.1016/j.jembe.2006.09.010","http://dx.doi.org/10.1016/j.jembe.2006.09.010")</f>
        <v>http://dx.doi.org/10.1016/j.jembe.2006.09.010</v>
      </c>
      <c r="BG854" t="s">
        <v>74</v>
      </c>
      <c r="BH854" t="s">
        <v>74</v>
      </c>
      <c r="BI854">
        <v>14</v>
      </c>
      <c r="BJ854" t="s">
        <v>282</v>
      </c>
      <c r="BK854" t="s">
        <v>98</v>
      </c>
      <c r="BL854" t="s">
        <v>283</v>
      </c>
      <c r="BM854" t="s">
        <v>13305</v>
      </c>
      <c r="BN854" t="s">
        <v>74</v>
      </c>
      <c r="BO854" t="s">
        <v>74</v>
      </c>
      <c r="BP854" t="s">
        <v>74</v>
      </c>
      <c r="BQ854" t="s">
        <v>74</v>
      </c>
      <c r="BR854" t="s">
        <v>101</v>
      </c>
      <c r="BS854" t="s">
        <v>13306</v>
      </c>
      <c r="BT854" t="str">
        <f>HYPERLINK("https%3A%2F%2Fwww.webofscience.com%2Fwos%2Fwoscc%2Ffull-record%2FWOS:000243557900009","View Full Record in Web of Science")</f>
        <v>View Full Record in Web of Science</v>
      </c>
    </row>
    <row r="855" spans="1:72" x14ac:dyDescent="0.15">
      <c r="A855" t="s">
        <v>72</v>
      </c>
      <c r="B855" t="s">
        <v>13307</v>
      </c>
      <c r="C855" t="s">
        <v>74</v>
      </c>
      <c r="D855" t="s">
        <v>74</v>
      </c>
      <c r="E855" t="s">
        <v>74</v>
      </c>
      <c r="F855" t="s">
        <v>13308</v>
      </c>
      <c r="G855" t="s">
        <v>74</v>
      </c>
      <c r="H855" t="s">
        <v>74</v>
      </c>
      <c r="I855" t="s">
        <v>13309</v>
      </c>
      <c r="J855" t="s">
        <v>289</v>
      </c>
      <c r="K855" t="s">
        <v>74</v>
      </c>
      <c r="L855" t="s">
        <v>74</v>
      </c>
      <c r="M855" t="s">
        <v>78</v>
      </c>
      <c r="N855" t="s">
        <v>79</v>
      </c>
      <c r="O855" t="s">
        <v>74</v>
      </c>
      <c r="P855" t="s">
        <v>74</v>
      </c>
      <c r="Q855" t="s">
        <v>74</v>
      </c>
      <c r="R855" t="s">
        <v>74</v>
      </c>
      <c r="S855" t="s">
        <v>74</v>
      </c>
      <c r="T855" t="s">
        <v>74</v>
      </c>
      <c r="U855" t="s">
        <v>13310</v>
      </c>
      <c r="V855" t="s">
        <v>13311</v>
      </c>
      <c r="W855" t="s">
        <v>13312</v>
      </c>
      <c r="X855" t="s">
        <v>13313</v>
      </c>
      <c r="Y855" t="s">
        <v>13314</v>
      </c>
      <c r="Z855" t="s">
        <v>13315</v>
      </c>
      <c r="AA855" t="s">
        <v>74</v>
      </c>
      <c r="AB855" t="s">
        <v>74</v>
      </c>
      <c r="AC855" t="s">
        <v>74</v>
      </c>
      <c r="AD855" t="s">
        <v>74</v>
      </c>
      <c r="AE855" t="s">
        <v>74</v>
      </c>
      <c r="AF855" t="s">
        <v>74</v>
      </c>
      <c r="AG855">
        <v>53</v>
      </c>
      <c r="AH855">
        <v>56</v>
      </c>
      <c r="AI855">
        <v>62</v>
      </c>
      <c r="AJ855">
        <v>0</v>
      </c>
      <c r="AK855">
        <v>7</v>
      </c>
      <c r="AL855" t="s">
        <v>141</v>
      </c>
      <c r="AM855" t="s">
        <v>142</v>
      </c>
      <c r="AN855" t="s">
        <v>143</v>
      </c>
      <c r="AO855" t="s">
        <v>296</v>
      </c>
      <c r="AP855" t="s">
        <v>297</v>
      </c>
      <c r="AQ855" t="s">
        <v>74</v>
      </c>
      <c r="AR855" t="s">
        <v>289</v>
      </c>
      <c r="AS855" t="s">
        <v>298</v>
      </c>
      <c r="AT855" t="s">
        <v>13303</v>
      </c>
      <c r="AU855">
        <v>2007</v>
      </c>
      <c r="AV855">
        <v>22</v>
      </c>
      <c r="AW855">
        <v>1</v>
      </c>
      <c r="AX855" t="s">
        <v>74</v>
      </c>
      <c r="AY855" t="s">
        <v>74</v>
      </c>
      <c r="AZ855" t="s">
        <v>74</v>
      </c>
      <c r="BA855" t="s">
        <v>74</v>
      </c>
      <c r="BB855" t="s">
        <v>74</v>
      </c>
      <c r="BC855" t="s">
        <v>74</v>
      </c>
      <c r="BD855" t="s">
        <v>13316</v>
      </c>
      <c r="BE855" t="s">
        <v>13317</v>
      </c>
      <c r="BF855" t="str">
        <f>HYPERLINK("http://dx.doi.org/10.1029/2006PA001327","http://dx.doi.org/10.1029/2006PA001327")</f>
        <v>http://dx.doi.org/10.1029/2006PA001327</v>
      </c>
      <c r="BG855" t="s">
        <v>74</v>
      </c>
      <c r="BH855" t="s">
        <v>74</v>
      </c>
      <c r="BI855">
        <v>8</v>
      </c>
      <c r="BJ855" t="s">
        <v>301</v>
      </c>
      <c r="BK855" t="s">
        <v>98</v>
      </c>
      <c r="BL855" t="s">
        <v>302</v>
      </c>
      <c r="BM855" t="s">
        <v>13318</v>
      </c>
      <c r="BN855" t="s">
        <v>74</v>
      </c>
      <c r="BO855" t="s">
        <v>154</v>
      </c>
      <c r="BP855" t="s">
        <v>74</v>
      </c>
      <c r="BQ855" t="s">
        <v>74</v>
      </c>
      <c r="BR855" t="s">
        <v>101</v>
      </c>
      <c r="BS855" t="s">
        <v>13319</v>
      </c>
      <c r="BT855" t="str">
        <f>HYPERLINK("https%3A%2F%2Fwww.webofscience.com%2Fwos%2Fwoscc%2Ffull-record%2FWOS:000243878100002","View Full Record in Web of Science")</f>
        <v>View Full Record in Web of Science</v>
      </c>
    </row>
    <row r="856" spans="1:72" x14ac:dyDescent="0.15">
      <c r="A856" t="s">
        <v>72</v>
      </c>
      <c r="B856" t="s">
        <v>13320</v>
      </c>
      <c r="C856" t="s">
        <v>74</v>
      </c>
      <c r="D856" t="s">
        <v>74</v>
      </c>
      <c r="E856" t="s">
        <v>74</v>
      </c>
      <c r="F856" t="s">
        <v>13321</v>
      </c>
      <c r="G856" t="s">
        <v>74</v>
      </c>
      <c r="H856" t="s">
        <v>74</v>
      </c>
      <c r="I856" t="s">
        <v>13322</v>
      </c>
      <c r="J856" t="s">
        <v>13323</v>
      </c>
      <c r="K856" t="s">
        <v>74</v>
      </c>
      <c r="L856" t="s">
        <v>74</v>
      </c>
      <c r="M856" t="s">
        <v>78</v>
      </c>
      <c r="N856" t="s">
        <v>79</v>
      </c>
      <c r="O856" t="s">
        <v>74</v>
      </c>
      <c r="P856" t="s">
        <v>74</v>
      </c>
      <c r="Q856" t="s">
        <v>74</v>
      </c>
      <c r="R856" t="s">
        <v>74</v>
      </c>
      <c r="S856" t="s">
        <v>74</v>
      </c>
      <c r="T856" t="s">
        <v>13324</v>
      </c>
      <c r="U856" t="s">
        <v>13325</v>
      </c>
      <c r="V856" t="s">
        <v>13326</v>
      </c>
      <c r="W856" t="s">
        <v>13327</v>
      </c>
      <c r="X856" t="s">
        <v>13328</v>
      </c>
      <c r="Y856" t="s">
        <v>13329</v>
      </c>
      <c r="Z856" t="s">
        <v>13330</v>
      </c>
      <c r="AA856" t="s">
        <v>13331</v>
      </c>
      <c r="AB856" t="s">
        <v>13332</v>
      </c>
      <c r="AC856" t="s">
        <v>74</v>
      </c>
      <c r="AD856" t="s">
        <v>74</v>
      </c>
      <c r="AE856" t="s">
        <v>74</v>
      </c>
      <c r="AF856" t="s">
        <v>74</v>
      </c>
      <c r="AG856">
        <v>21</v>
      </c>
      <c r="AH856">
        <v>3</v>
      </c>
      <c r="AI856">
        <v>3</v>
      </c>
      <c r="AJ856">
        <v>0</v>
      </c>
      <c r="AK856">
        <v>9</v>
      </c>
      <c r="AL856" t="s">
        <v>5362</v>
      </c>
      <c r="AM856" t="s">
        <v>363</v>
      </c>
      <c r="AN856" t="s">
        <v>3569</v>
      </c>
      <c r="AO856" t="s">
        <v>13333</v>
      </c>
      <c r="AP856" t="s">
        <v>74</v>
      </c>
      <c r="AQ856" t="s">
        <v>74</v>
      </c>
      <c r="AR856" t="s">
        <v>13334</v>
      </c>
      <c r="AS856" t="s">
        <v>13335</v>
      </c>
      <c r="AT856" t="s">
        <v>13336</v>
      </c>
      <c r="AU856">
        <v>2007</v>
      </c>
      <c r="AV856">
        <v>244</v>
      </c>
      <c r="AW856">
        <v>2</v>
      </c>
      <c r="AX856" t="s">
        <v>74</v>
      </c>
      <c r="AY856" t="s">
        <v>74</v>
      </c>
      <c r="AZ856" t="s">
        <v>74</v>
      </c>
      <c r="BA856" t="s">
        <v>74</v>
      </c>
      <c r="BB856">
        <v>318</v>
      </c>
      <c r="BC856">
        <v>325</v>
      </c>
      <c r="BD856" t="s">
        <v>74</v>
      </c>
      <c r="BE856" t="s">
        <v>13337</v>
      </c>
      <c r="BF856" t="str">
        <f>HYPERLINK("http://dx.doi.org/10.1016/j.jtbi.2006.08.001","http://dx.doi.org/10.1016/j.jtbi.2006.08.001")</f>
        <v>http://dx.doi.org/10.1016/j.jtbi.2006.08.001</v>
      </c>
      <c r="BG856" t="s">
        <v>74</v>
      </c>
      <c r="BH856" t="s">
        <v>74</v>
      </c>
      <c r="BI856">
        <v>8</v>
      </c>
      <c r="BJ856" t="s">
        <v>13338</v>
      </c>
      <c r="BK856" t="s">
        <v>98</v>
      </c>
      <c r="BL856" t="s">
        <v>13339</v>
      </c>
      <c r="BM856" t="s">
        <v>13340</v>
      </c>
      <c r="BN856">
        <v>16989868</v>
      </c>
      <c r="BO856" t="s">
        <v>74</v>
      </c>
      <c r="BP856" t="s">
        <v>74</v>
      </c>
      <c r="BQ856" t="s">
        <v>74</v>
      </c>
      <c r="BR856" t="s">
        <v>101</v>
      </c>
      <c r="BS856" t="s">
        <v>13341</v>
      </c>
      <c r="BT856" t="str">
        <f>HYPERLINK("https%3A%2F%2Fwww.webofscience.com%2Fwos%2Fwoscc%2Ffull-record%2FWOS:000243267700013","View Full Record in Web of Science")</f>
        <v>View Full Record in Web of Science</v>
      </c>
    </row>
    <row r="857" spans="1:72" x14ac:dyDescent="0.15">
      <c r="A857" t="s">
        <v>72</v>
      </c>
      <c r="B857" t="s">
        <v>2718</v>
      </c>
      <c r="C857" t="s">
        <v>74</v>
      </c>
      <c r="D857" t="s">
        <v>74</v>
      </c>
      <c r="E857" t="s">
        <v>74</v>
      </c>
      <c r="F857" t="s">
        <v>13342</v>
      </c>
      <c r="G857" t="s">
        <v>74</v>
      </c>
      <c r="H857" t="s">
        <v>74</v>
      </c>
      <c r="I857" t="s">
        <v>13343</v>
      </c>
      <c r="J857" t="s">
        <v>130</v>
      </c>
      <c r="K857" t="s">
        <v>74</v>
      </c>
      <c r="L857" t="s">
        <v>74</v>
      </c>
      <c r="M857" t="s">
        <v>78</v>
      </c>
      <c r="N857" t="s">
        <v>79</v>
      </c>
      <c r="O857" t="s">
        <v>74</v>
      </c>
      <c r="P857" t="s">
        <v>74</v>
      </c>
      <c r="Q857" t="s">
        <v>74</v>
      </c>
      <c r="R857" t="s">
        <v>74</v>
      </c>
      <c r="S857" t="s">
        <v>74</v>
      </c>
      <c r="T857" t="s">
        <v>74</v>
      </c>
      <c r="U857" t="s">
        <v>13344</v>
      </c>
      <c r="V857" t="s">
        <v>13345</v>
      </c>
      <c r="W857" t="s">
        <v>2724</v>
      </c>
      <c r="X857" t="s">
        <v>2725</v>
      </c>
      <c r="Y857" t="s">
        <v>2726</v>
      </c>
      <c r="Z857" t="s">
        <v>2727</v>
      </c>
      <c r="AA857" t="s">
        <v>2728</v>
      </c>
      <c r="AB857" t="s">
        <v>74</v>
      </c>
      <c r="AC857" t="s">
        <v>74</v>
      </c>
      <c r="AD857" t="s">
        <v>74</v>
      </c>
      <c r="AE857" t="s">
        <v>74</v>
      </c>
      <c r="AF857" t="s">
        <v>74</v>
      </c>
      <c r="AG857">
        <v>19</v>
      </c>
      <c r="AH857">
        <v>30</v>
      </c>
      <c r="AI857">
        <v>39</v>
      </c>
      <c r="AJ857">
        <v>1</v>
      </c>
      <c r="AK857">
        <v>20</v>
      </c>
      <c r="AL857" t="s">
        <v>141</v>
      </c>
      <c r="AM857" t="s">
        <v>142</v>
      </c>
      <c r="AN857" t="s">
        <v>143</v>
      </c>
      <c r="AO857" t="s">
        <v>144</v>
      </c>
      <c r="AP857" t="s">
        <v>145</v>
      </c>
      <c r="AQ857" t="s">
        <v>74</v>
      </c>
      <c r="AR857" t="s">
        <v>146</v>
      </c>
      <c r="AS857" t="s">
        <v>147</v>
      </c>
      <c r="AT857" t="s">
        <v>13346</v>
      </c>
      <c r="AU857">
        <v>2007</v>
      </c>
      <c r="AV857">
        <v>34</v>
      </c>
      <c r="AW857">
        <v>2</v>
      </c>
      <c r="AX857" t="s">
        <v>74</v>
      </c>
      <c r="AY857" t="s">
        <v>74</v>
      </c>
      <c r="AZ857" t="s">
        <v>74</v>
      </c>
      <c r="BA857" t="s">
        <v>74</v>
      </c>
      <c r="BB857" t="s">
        <v>74</v>
      </c>
      <c r="BC857" t="s">
        <v>74</v>
      </c>
      <c r="BD857" t="s">
        <v>13347</v>
      </c>
      <c r="BE857" t="s">
        <v>13348</v>
      </c>
      <c r="BF857" t="str">
        <f>HYPERLINK("http://dx.doi.org/10.1029/2006GL028045","http://dx.doi.org/10.1029/2006GL028045")</f>
        <v>http://dx.doi.org/10.1029/2006GL028045</v>
      </c>
      <c r="BG857" t="s">
        <v>74</v>
      </c>
      <c r="BH857" t="s">
        <v>74</v>
      </c>
      <c r="BI857">
        <v>4</v>
      </c>
      <c r="BJ857" t="s">
        <v>151</v>
      </c>
      <c r="BK857" t="s">
        <v>98</v>
      </c>
      <c r="BL857" t="s">
        <v>152</v>
      </c>
      <c r="BM857" t="s">
        <v>13349</v>
      </c>
      <c r="BN857" t="s">
        <v>74</v>
      </c>
      <c r="BO857" t="s">
        <v>154</v>
      </c>
      <c r="BP857" t="s">
        <v>74</v>
      </c>
      <c r="BQ857" t="s">
        <v>74</v>
      </c>
      <c r="BR857" t="s">
        <v>101</v>
      </c>
      <c r="BS857" t="s">
        <v>13350</v>
      </c>
      <c r="BT857" t="str">
        <f>HYPERLINK("https%3A%2F%2Fwww.webofscience.com%2Fwos%2Fwoscc%2Ffull-record%2FWOS:000243848900004","View Full Record in Web of Science")</f>
        <v>View Full Record in Web of Science</v>
      </c>
    </row>
    <row r="858" spans="1:72" x14ac:dyDescent="0.15">
      <c r="A858" t="s">
        <v>72</v>
      </c>
      <c r="B858" t="s">
        <v>13351</v>
      </c>
      <c r="C858" t="s">
        <v>74</v>
      </c>
      <c r="D858" t="s">
        <v>74</v>
      </c>
      <c r="E858" t="s">
        <v>74</v>
      </c>
      <c r="F858" t="s">
        <v>13352</v>
      </c>
      <c r="G858" t="s">
        <v>74</v>
      </c>
      <c r="H858" t="s">
        <v>74</v>
      </c>
      <c r="I858" t="s">
        <v>13353</v>
      </c>
      <c r="J858" t="s">
        <v>416</v>
      </c>
      <c r="K858" t="s">
        <v>74</v>
      </c>
      <c r="L858" t="s">
        <v>74</v>
      </c>
      <c r="M858" t="s">
        <v>78</v>
      </c>
      <c r="N858" t="s">
        <v>79</v>
      </c>
      <c r="O858" t="s">
        <v>74</v>
      </c>
      <c r="P858" t="s">
        <v>74</v>
      </c>
      <c r="Q858" t="s">
        <v>74</v>
      </c>
      <c r="R858" t="s">
        <v>74</v>
      </c>
      <c r="S858" t="s">
        <v>74</v>
      </c>
      <c r="T858" t="s">
        <v>74</v>
      </c>
      <c r="U858" t="s">
        <v>13354</v>
      </c>
      <c r="V858" t="s">
        <v>13355</v>
      </c>
      <c r="W858" t="s">
        <v>13356</v>
      </c>
      <c r="X858" t="s">
        <v>13357</v>
      </c>
      <c r="Y858" t="s">
        <v>13358</v>
      </c>
      <c r="Z858" t="s">
        <v>13359</v>
      </c>
      <c r="AA858" t="s">
        <v>13360</v>
      </c>
      <c r="AB858" t="s">
        <v>13361</v>
      </c>
      <c r="AC858" t="s">
        <v>74</v>
      </c>
      <c r="AD858" t="s">
        <v>74</v>
      </c>
      <c r="AE858" t="s">
        <v>74</v>
      </c>
      <c r="AF858" t="s">
        <v>74</v>
      </c>
      <c r="AG858">
        <v>29</v>
      </c>
      <c r="AH858">
        <v>9</v>
      </c>
      <c r="AI858">
        <v>10</v>
      </c>
      <c r="AJ858">
        <v>0</v>
      </c>
      <c r="AK858">
        <v>4</v>
      </c>
      <c r="AL858" t="s">
        <v>141</v>
      </c>
      <c r="AM858" t="s">
        <v>142</v>
      </c>
      <c r="AN858" t="s">
        <v>143</v>
      </c>
      <c r="AO858" t="s">
        <v>427</v>
      </c>
      <c r="AP858" t="s">
        <v>428</v>
      </c>
      <c r="AQ858" t="s">
        <v>74</v>
      </c>
      <c r="AR858" t="s">
        <v>429</v>
      </c>
      <c r="AS858" t="s">
        <v>430</v>
      </c>
      <c r="AT858" t="s">
        <v>13346</v>
      </c>
      <c r="AU858">
        <v>2007</v>
      </c>
      <c r="AV858">
        <v>112</v>
      </c>
      <c r="AW858" t="s">
        <v>13362</v>
      </c>
      <c r="AX858" t="s">
        <v>74</v>
      </c>
      <c r="AY858" t="s">
        <v>74</v>
      </c>
      <c r="AZ858" t="s">
        <v>74</v>
      </c>
      <c r="BA858" t="s">
        <v>74</v>
      </c>
      <c r="BB858" t="s">
        <v>74</v>
      </c>
      <c r="BC858" t="s">
        <v>74</v>
      </c>
      <c r="BD858" t="s">
        <v>13363</v>
      </c>
      <c r="BE858" t="s">
        <v>13364</v>
      </c>
      <c r="BF858" t="str">
        <f>HYPERLINK("http://dx.doi.org/10.1029/2006JD007648","http://dx.doi.org/10.1029/2006JD007648")</f>
        <v>http://dx.doi.org/10.1029/2006JD007648</v>
      </c>
      <c r="BG858" t="s">
        <v>74</v>
      </c>
      <c r="BH858" t="s">
        <v>74</v>
      </c>
      <c r="BI858">
        <v>11</v>
      </c>
      <c r="BJ858" t="s">
        <v>435</v>
      </c>
      <c r="BK858" t="s">
        <v>98</v>
      </c>
      <c r="BL858" t="s">
        <v>435</v>
      </c>
      <c r="BM858" t="s">
        <v>13365</v>
      </c>
      <c r="BN858" t="s">
        <v>74</v>
      </c>
      <c r="BO858" t="s">
        <v>154</v>
      </c>
      <c r="BP858" t="s">
        <v>74</v>
      </c>
      <c r="BQ858" t="s">
        <v>74</v>
      </c>
      <c r="BR858" t="s">
        <v>101</v>
      </c>
      <c r="BS858" t="s">
        <v>13366</v>
      </c>
      <c r="BT858" t="str">
        <f>HYPERLINK("https%3A%2F%2Fwww.webofscience.com%2Fwos%2Fwoscc%2Ffull-record%2FWOS:000243849600006","View Full Record in Web of Science")</f>
        <v>View Full Record in Web of Science</v>
      </c>
    </row>
    <row r="859" spans="1:72" x14ac:dyDescent="0.15">
      <c r="A859" t="s">
        <v>72</v>
      </c>
      <c r="B859" t="s">
        <v>13367</v>
      </c>
      <c r="C859" t="s">
        <v>74</v>
      </c>
      <c r="D859" t="s">
        <v>74</v>
      </c>
      <c r="E859" t="s">
        <v>74</v>
      </c>
      <c r="F859" t="s">
        <v>13368</v>
      </c>
      <c r="G859" t="s">
        <v>74</v>
      </c>
      <c r="H859" t="s">
        <v>74</v>
      </c>
      <c r="I859" t="s">
        <v>13369</v>
      </c>
      <c r="J859" t="s">
        <v>4268</v>
      </c>
      <c r="K859" t="s">
        <v>74</v>
      </c>
      <c r="L859" t="s">
        <v>74</v>
      </c>
      <c r="M859" t="s">
        <v>78</v>
      </c>
      <c r="N859" t="s">
        <v>79</v>
      </c>
      <c r="O859" t="s">
        <v>74</v>
      </c>
      <c r="P859" t="s">
        <v>74</v>
      </c>
      <c r="Q859" t="s">
        <v>74</v>
      </c>
      <c r="R859" t="s">
        <v>74</v>
      </c>
      <c r="S859" t="s">
        <v>74</v>
      </c>
      <c r="T859" t="s">
        <v>13370</v>
      </c>
      <c r="U859" t="s">
        <v>13371</v>
      </c>
      <c r="V859" t="s">
        <v>13372</v>
      </c>
      <c r="W859" t="s">
        <v>13373</v>
      </c>
      <c r="X859" t="s">
        <v>13374</v>
      </c>
      <c r="Y859" t="s">
        <v>13375</v>
      </c>
      <c r="Z859" t="s">
        <v>13376</v>
      </c>
      <c r="AA859" t="s">
        <v>13377</v>
      </c>
      <c r="AB859" t="s">
        <v>13378</v>
      </c>
      <c r="AC859" t="s">
        <v>74</v>
      </c>
      <c r="AD859" t="s">
        <v>74</v>
      </c>
      <c r="AE859" t="s">
        <v>74</v>
      </c>
      <c r="AF859" t="s">
        <v>74</v>
      </c>
      <c r="AG859">
        <v>52</v>
      </c>
      <c r="AH859">
        <v>45</v>
      </c>
      <c r="AI859">
        <v>46</v>
      </c>
      <c r="AJ859">
        <v>0</v>
      </c>
      <c r="AK859">
        <v>6</v>
      </c>
      <c r="AL859" t="s">
        <v>272</v>
      </c>
      <c r="AM859" t="s">
        <v>273</v>
      </c>
      <c r="AN859" t="s">
        <v>274</v>
      </c>
      <c r="AO859" t="s">
        <v>4278</v>
      </c>
      <c r="AP859" t="s">
        <v>4279</v>
      </c>
      <c r="AQ859" t="s">
        <v>74</v>
      </c>
      <c r="AR859" t="s">
        <v>4280</v>
      </c>
      <c r="AS859" t="s">
        <v>4281</v>
      </c>
      <c r="AT859" t="s">
        <v>13346</v>
      </c>
      <c r="AU859">
        <v>2007</v>
      </c>
      <c r="AV859">
        <v>152</v>
      </c>
      <c r="AW859" t="s">
        <v>686</v>
      </c>
      <c r="AX859" t="s">
        <v>74</v>
      </c>
      <c r="AY859" t="s">
        <v>74</v>
      </c>
      <c r="AZ859" t="s">
        <v>74</v>
      </c>
      <c r="BA859" t="s">
        <v>74</v>
      </c>
      <c r="BB859">
        <v>93</v>
      </c>
      <c r="BC859">
        <v>118</v>
      </c>
      <c r="BD859" t="s">
        <v>74</v>
      </c>
      <c r="BE859" t="s">
        <v>13379</v>
      </c>
      <c r="BF859" t="str">
        <f>HYPERLINK("http://dx.doi.org/10.1016/j.precamres.2006.10.002","http://dx.doi.org/10.1016/j.precamres.2006.10.002")</f>
        <v>http://dx.doi.org/10.1016/j.precamres.2006.10.002</v>
      </c>
      <c r="BG859" t="s">
        <v>74</v>
      </c>
      <c r="BH859" t="s">
        <v>74</v>
      </c>
      <c r="BI859">
        <v>26</v>
      </c>
      <c r="BJ859" t="s">
        <v>151</v>
      </c>
      <c r="BK859" t="s">
        <v>98</v>
      </c>
      <c r="BL859" t="s">
        <v>152</v>
      </c>
      <c r="BM859" t="s">
        <v>13380</v>
      </c>
      <c r="BN859" t="s">
        <v>74</v>
      </c>
      <c r="BO859" t="s">
        <v>74</v>
      </c>
      <c r="BP859" t="s">
        <v>74</v>
      </c>
      <c r="BQ859" t="s">
        <v>74</v>
      </c>
      <c r="BR859" t="s">
        <v>101</v>
      </c>
      <c r="BS859" t="s">
        <v>13381</v>
      </c>
      <c r="BT859" t="str">
        <f>HYPERLINK("https%3A%2F%2Fwww.webofscience.com%2Fwos%2Fwoscc%2Ffull-record%2FWOS:000243800900001","View Full Record in Web of Science")</f>
        <v>View Full Record in Web of Science</v>
      </c>
    </row>
    <row r="860" spans="1:72" x14ac:dyDescent="0.15">
      <c r="A860" t="s">
        <v>72</v>
      </c>
      <c r="B860" t="s">
        <v>13382</v>
      </c>
      <c r="C860" t="s">
        <v>74</v>
      </c>
      <c r="D860" t="s">
        <v>74</v>
      </c>
      <c r="E860" t="s">
        <v>74</v>
      </c>
      <c r="F860" t="s">
        <v>13383</v>
      </c>
      <c r="G860" t="s">
        <v>74</v>
      </c>
      <c r="H860" t="s">
        <v>74</v>
      </c>
      <c r="I860" t="s">
        <v>13384</v>
      </c>
      <c r="J860" t="s">
        <v>8285</v>
      </c>
      <c r="K860" t="s">
        <v>74</v>
      </c>
      <c r="L860" t="s">
        <v>74</v>
      </c>
      <c r="M860" t="s">
        <v>78</v>
      </c>
      <c r="N860" t="s">
        <v>79</v>
      </c>
      <c r="O860" t="s">
        <v>74</v>
      </c>
      <c r="P860" t="s">
        <v>74</v>
      </c>
      <c r="Q860" t="s">
        <v>74</v>
      </c>
      <c r="R860" t="s">
        <v>74</v>
      </c>
      <c r="S860" t="s">
        <v>74</v>
      </c>
      <c r="T860" t="s">
        <v>13385</v>
      </c>
      <c r="U860" t="s">
        <v>13386</v>
      </c>
      <c r="V860" t="s">
        <v>13387</v>
      </c>
      <c r="W860" t="s">
        <v>13388</v>
      </c>
      <c r="X860" t="s">
        <v>13389</v>
      </c>
      <c r="Y860" t="s">
        <v>13390</v>
      </c>
      <c r="Z860" t="s">
        <v>13391</v>
      </c>
      <c r="AA860" t="s">
        <v>74</v>
      </c>
      <c r="AB860" t="s">
        <v>74</v>
      </c>
      <c r="AC860" t="s">
        <v>74</v>
      </c>
      <c r="AD860" t="s">
        <v>74</v>
      </c>
      <c r="AE860" t="s">
        <v>74</v>
      </c>
      <c r="AF860" t="s">
        <v>74</v>
      </c>
      <c r="AG860">
        <v>50</v>
      </c>
      <c r="AH860">
        <v>23</v>
      </c>
      <c r="AI860">
        <v>26</v>
      </c>
      <c r="AJ860">
        <v>1</v>
      </c>
      <c r="AK860">
        <v>18</v>
      </c>
      <c r="AL860" t="s">
        <v>8293</v>
      </c>
      <c r="AM860" t="s">
        <v>8294</v>
      </c>
      <c r="AN860" t="s">
        <v>8295</v>
      </c>
      <c r="AO860" t="s">
        <v>8296</v>
      </c>
      <c r="AP860" t="s">
        <v>74</v>
      </c>
      <c r="AQ860" t="s">
        <v>74</v>
      </c>
      <c r="AR860" t="s">
        <v>8298</v>
      </c>
      <c r="AS860" t="s">
        <v>8299</v>
      </c>
      <c r="AT860" t="s">
        <v>13392</v>
      </c>
      <c r="AU860">
        <v>2007</v>
      </c>
      <c r="AV860">
        <v>46</v>
      </c>
      <c r="AW860">
        <v>1</v>
      </c>
      <c r="AX860" t="s">
        <v>74</v>
      </c>
      <c r="AY860" t="s">
        <v>74</v>
      </c>
      <c r="AZ860" t="s">
        <v>74</v>
      </c>
      <c r="BA860" t="s">
        <v>74</v>
      </c>
      <c r="BB860">
        <v>1</v>
      </c>
      <c r="BC860">
        <v>13</v>
      </c>
      <c r="BD860" t="s">
        <v>74</v>
      </c>
      <c r="BE860" t="s">
        <v>13393</v>
      </c>
      <c r="BF860" t="str">
        <f>HYPERLINK("http://dx.doi.org/10.3354/ame046001","http://dx.doi.org/10.3354/ame046001")</f>
        <v>http://dx.doi.org/10.3354/ame046001</v>
      </c>
      <c r="BG860" t="s">
        <v>74</v>
      </c>
      <c r="BH860" t="s">
        <v>74</v>
      </c>
      <c r="BI860">
        <v>13</v>
      </c>
      <c r="BJ860" t="s">
        <v>8302</v>
      </c>
      <c r="BK860" t="s">
        <v>98</v>
      </c>
      <c r="BL860" t="s">
        <v>8303</v>
      </c>
      <c r="BM860" t="s">
        <v>13394</v>
      </c>
      <c r="BN860" t="s">
        <v>74</v>
      </c>
      <c r="BO860" t="s">
        <v>154</v>
      </c>
      <c r="BP860" t="s">
        <v>74</v>
      </c>
      <c r="BQ860" t="s">
        <v>74</v>
      </c>
      <c r="BR860" t="s">
        <v>101</v>
      </c>
      <c r="BS860" t="s">
        <v>13395</v>
      </c>
      <c r="BT860" t="str">
        <f>HYPERLINK("https%3A%2F%2Fwww.webofscience.com%2Fwos%2Fwoscc%2Ffull-record%2FWOS:000244194200001","View Full Record in Web of Science")</f>
        <v>View Full Record in Web of Science</v>
      </c>
    </row>
    <row r="861" spans="1:72" x14ac:dyDescent="0.15">
      <c r="A861" t="s">
        <v>72</v>
      </c>
      <c r="B861" t="s">
        <v>13396</v>
      </c>
      <c r="C861" t="s">
        <v>74</v>
      </c>
      <c r="D861" t="s">
        <v>74</v>
      </c>
      <c r="E861" t="s">
        <v>74</v>
      </c>
      <c r="F861" t="s">
        <v>13397</v>
      </c>
      <c r="G861" t="s">
        <v>74</v>
      </c>
      <c r="H861" t="s">
        <v>74</v>
      </c>
      <c r="I861" t="s">
        <v>13398</v>
      </c>
      <c r="J861" t="s">
        <v>13258</v>
      </c>
      <c r="K861" t="s">
        <v>74</v>
      </c>
      <c r="L861" t="s">
        <v>74</v>
      </c>
      <c r="M861" t="s">
        <v>78</v>
      </c>
      <c r="N861" t="s">
        <v>79</v>
      </c>
      <c r="O861" t="s">
        <v>74</v>
      </c>
      <c r="P861" t="s">
        <v>74</v>
      </c>
      <c r="Q861" t="s">
        <v>74</v>
      </c>
      <c r="R861" t="s">
        <v>74</v>
      </c>
      <c r="S861" t="s">
        <v>74</v>
      </c>
      <c r="T861" t="s">
        <v>74</v>
      </c>
      <c r="U861" t="s">
        <v>13399</v>
      </c>
      <c r="V861" t="s">
        <v>13400</v>
      </c>
      <c r="W861" t="s">
        <v>13401</v>
      </c>
      <c r="X861" t="s">
        <v>13402</v>
      </c>
      <c r="Y861" t="s">
        <v>13403</v>
      </c>
      <c r="Z861" t="s">
        <v>13404</v>
      </c>
      <c r="AA861" t="s">
        <v>13405</v>
      </c>
      <c r="AB861" t="s">
        <v>13406</v>
      </c>
      <c r="AC861" t="s">
        <v>74</v>
      </c>
      <c r="AD861" t="s">
        <v>74</v>
      </c>
      <c r="AE861" t="s">
        <v>74</v>
      </c>
      <c r="AF861" t="s">
        <v>74</v>
      </c>
      <c r="AG861">
        <v>46</v>
      </c>
      <c r="AH861">
        <v>16</v>
      </c>
      <c r="AI861">
        <v>27</v>
      </c>
      <c r="AJ861">
        <v>0</v>
      </c>
      <c r="AK861">
        <v>10</v>
      </c>
      <c r="AL861" t="s">
        <v>13407</v>
      </c>
      <c r="AM861" t="s">
        <v>13408</v>
      </c>
      <c r="AN861" t="s">
        <v>13409</v>
      </c>
      <c r="AO861" t="s">
        <v>13269</v>
      </c>
      <c r="AP861" t="s">
        <v>13410</v>
      </c>
      <c r="AQ861" t="s">
        <v>74</v>
      </c>
      <c r="AR861" t="s">
        <v>13270</v>
      </c>
      <c r="AS861" t="s">
        <v>13271</v>
      </c>
      <c r="AT861" t="s">
        <v>13392</v>
      </c>
      <c r="AU861">
        <v>2007</v>
      </c>
      <c r="AV861">
        <v>7</v>
      </c>
      <c r="AW861" t="s">
        <v>74</v>
      </c>
      <c r="AX861" t="s">
        <v>74</v>
      </c>
      <c r="AY861" t="s">
        <v>74</v>
      </c>
      <c r="AZ861" t="s">
        <v>74</v>
      </c>
      <c r="BA861" t="s">
        <v>74</v>
      </c>
      <c r="BB861">
        <v>295</v>
      </c>
      <c r="BC861">
        <v>308</v>
      </c>
      <c r="BD861" t="s">
        <v>74</v>
      </c>
      <c r="BE861" t="s">
        <v>13411</v>
      </c>
      <c r="BF861" t="str">
        <f>HYPERLINK("http://dx.doi.org/10.5194/acp-7-295-2007","http://dx.doi.org/10.5194/acp-7-295-2007")</f>
        <v>http://dx.doi.org/10.5194/acp-7-295-2007</v>
      </c>
      <c r="BG861" t="s">
        <v>74</v>
      </c>
      <c r="BH861" t="s">
        <v>74</v>
      </c>
      <c r="BI861">
        <v>14</v>
      </c>
      <c r="BJ861" t="s">
        <v>1511</v>
      </c>
      <c r="BK861" t="s">
        <v>98</v>
      </c>
      <c r="BL861" t="s">
        <v>1512</v>
      </c>
      <c r="BM861" t="s">
        <v>13412</v>
      </c>
      <c r="BN861" t="s">
        <v>74</v>
      </c>
      <c r="BO861" t="s">
        <v>13413</v>
      </c>
      <c r="BP861" t="s">
        <v>74</v>
      </c>
      <c r="BQ861" t="s">
        <v>74</v>
      </c>
      <c r="BR861" t="s">
        <v>101</v>
      </c>
      <c r="BS861" t="s">
        <v>13414</v>
      </c>
      <c r="BT861" t="str">
        <f>HYPERLINK("https%3A%2F%2Fwww.webofscience.com%2Fwos%2Fwoscc%2Ffull-record%2FWOS:000243747500002","View Full Record in Web of Science")</f>
        <v>View Full Record in Web of Science</v>
      </c>
    </row>
    <row r="862" spans="1:72" x14ac:dyDescent="0.15">
      <c r="A862" t="s">
        <v>72</v>
      </c>
      <c r="B862" t="s">
        <v>13415</v>
      </c>
      <c r="C862" t="s">
        <v>74</v>
      </c>
      <c r="D862" t="s">
        <v>74</v>
      </c>
      <c r="E862" t="s">
        <v>74</v>
      </c>
      <c r="F862" t="s">
        <v>13416</v>
      </c>
      <c r="G862" t="s">
        <v>74</v>
      </c>
      <c r="H862" t="s">
        <v>74</v>
      </c>
      <c r="I862" t="s">
        <v>13417</v>
      </c>
      <c r="J862" t="s">
        <v>13258</v>
      </c>
      <c r="K862" t="s">
        <v>74</v>
      </c>
      <c r="L862" t="s">
        <v>74</v>
      </c>
      <c r="M862" t="s">
        <v>78</v>
      </c>
      <c r="N862" t="s">
        <v>79</v>
      </c>
      <c r="O862" t="s">
        <v>74</v>
      </c>
      <c r="P862" t="s">
        <v>74</v>
      </c>
      <c r="Q862" t="s">
        <v>74</v>
      </c>
      <c r="R862" t="s">
        <v>74</v>
      </c>
      <c r="S862" t="s">
        <v>74</v>
      </c>
      <c r="T862" t="s">
        <v>74</v>
      </c>
      <c r="U862" t="s">
        <v>13418</v>
      </c>
      <c r="V862" t="s">
        <v>13419</v>
      </c>
      <c r="W862" t="s">
        <v>13420</v>
      </c>
      <c r="X862" t="s">
        <v>13421</v>
      </c>
      <c r="Y862" t="s">
        <v>13422</v>
      </c>
      <c r="Z862" t="s">
        <v>13423</v>
      </c>
      <c r="AA862" t="s">
        <v>13424</v>
      </c>
      <c r="AB862" t="s">
        <v>13425</v>
      </c>
      <c r="AC862" t="s">
        <v>74</v>
      </c>
      <c r="AD862" t="s">
        <v>74</v>
      </c>
      <c r="AE862" t="s">
        <v>74</v>
      </c>
      <c r="AF862" t="s">
        <v>74</v>
      </c>
      <c r="AG862">
        <v>54</v>
      </c>
      <c r="AH862">
        <v>41</v>
      </c>
      <c r="AI862">
        <v>44</v>
      </c>
      <c r="AJ862">
        <v>0</v>
      </c>
      <c r="AK862">
        <v>5</v>
      </c>
      <c r="AL862" t="s">
        <v>13407</v>
      </c>
      <c r="AM862" t="s">
        <v>13408</v>
      </c>
      <c r="AN862" t="s">
        <v>13409</v>
      </c>
      <c r="AO862" t="s">
        <v>13269</v>
      </c>
      <c r="AP862" t="s">
        <v>13410</v>
      </c>
      <c r="AQ862" t="s">
        <v>74</v>
      </c>
      <c r="AR862" t="s">
        <v>13270</v>
      </c>
      <c r="AS862" t="s">
        <v>13271</v>
      </c>
      <c r="AT862" t="s">
        <v>13426</v>
      </c>
      <c r="AU862">
        <v>2007</v>
      </c>
      <c r="AV862">
        <v>7</v>
      </c>
      <c r="AW862" t="s">
        <v>74</v>
      </c>
      <c r="AX862" t="s">
        <v>74</v>
      </c>
      <c r="AY862" t="s">
        <v>74</v>
      </c>
      <c r="AZ862" t="s">
        <v>74</v>
      </c>
      <c r="BA862" t="s">
        <v>74</v>
      </c>
      <c r="BB862">
        <v>257</v>
      </c>
      <c r="BC862">
        <v>281</v>
      </c>
      <c r="BD862" t="s">
        <v>74</v>
      </c>
      <c r="BE862" t="s">
        <v>13427</v>
      </c>
      <c r="BF862" t="str">
        <f>HYPERLINK("http://dx.doi.org/10.5194/acp-7-257-2007","http://dx.doi.org/10.5194/acp-7-257-2007")</f>
        <v>http://dx.doi.org/10.5194/acp-7-257-2007</v>
      </c>
      <c r="BG862" t="s">
        <v>74</v>
      </c>
      <c r="BH862" t="s">
        <v>74</v>
      </c>
      <c r="BI862">
        <v>25</v>
      </c>
      <c r="BJ862" t="s">
        <v>1511</v>
      </c>
      <c r="BK862" t="s">
        <v>98</v>
      </c>
      <c r="BL862" t="s">
        <v>1512</v>
      </c>
      <c r="BM862" t="s">
        <v>13428</v>
      </c>
      <c r="BN862" t="s">
        <v>74</v>
      </c>
      <c r="BO862" t="s">
        <v>13275</v>
      </c>
      <c r="BP862" t="s">
        <v>74</v>
      </c>
      <c r="BQ862" t="s">
        <v>74</v>
      </c>
      <c r="BR862" t="s">
        <v>101</v>
      </c>
      <c r="BS862" t="s">
        <v>13429</v>
      </c>
      <c r="BT862" t="str">
        <f>HYPERLINK("https%3A%2F%2Fwww.webofscience.com%2Fwos%2Fwoscc%2Ffull-record%2FWOS:000243747400002","View Full Record in Web of Science")</f>
        <v>View Full Record in Web of Science</v>
      </c>
    </row>
    <row r="863" spans="1:72" x14ac:dyDescent="0.15">
      <c r="A863" t="s">
        <v>72</v>
      </c>
      <c r="B863" t="s">
        <v>13430</v>
      </c>
      <c r="C863" t="s">
        <v>74</v>
      </c>
      <c r="D863" t="s">
        <v>74</v>
      </c>
      <c r="E863" t="s">
        <v>74</v>
      </c>
      <c r="F863" t="s">
        <v>13431</v>
      </c>
      <c r="G863" t="s">
        <v>74</v>
      </c>
      <c r="H863" t="s">
        <v>74</v>
      </c>
      <c r="I863" t="s">
        <v>13432</v>
      </c>
      <c r="J863" t="s">
        <v>351</v>
      </c>
      <c r="K863" t="s">
        <v>74</v>
      </c>
      <c r="L863" t="s">
        <v>74</v>
      </c>
      <c r="M863" t="s">
        <v>78</v>
      </c>
      <c r="N863" t="s">
        <v>79</v>
      </c>
      <c r="O863" t="s">
        <v>74</v>
      </c>
      <c r="P863" t="s">
        <v>74</v>
      </c>
      <c r="Q863" t="s">
        <v>74</v>
      </c>
      <c r="R863" t="s">
        <v>74</v>
      </c>
      <c r="S863" t="s">
        <v>74</v>
      </c>
      <c r="T863" t="s">
        <v>74</v>
      </c>
      <c r="U863" t="s">
        <v>13433</v>
      </c>
      <c r="V863" t="s">
        <v>13434</v>
      </c>
      <c r="W863" t="s">
        <v>13435</v>
      </c>
      <c r="X863" t="s">
        <v>13436</v>
      </c>
      <c r="Y863" t="s">
        <v>13437</v>
      </c>
      <c r="Z863" t="s">
        <v>13438</v>
      </c>
      <c r="AA863" t="s">
        <v>13439</v>
      </c>
      <c r="AB863" t="s">
        <v>13440</v>
      </c>
      <c r="AC863" t="s">
        <v>74</v>
      </c>
      <c r="AD863" t="s">
        <v>74</v>
      </c>
      <c r="AE863" t="s">
        <v>74</v>
      </c>
      <c r="AF863" t="s">
        <v>74</v>
      </c>
      <c r="AG863">
        <v>29</v>
      </c>
      <c r="AH863">
        <v>146</v>
      </c>
      <c r="AI863">
        <v>163</v>
      </c>
      <c r="AJ863">
        <v>8</v>
      </c>
      <c r="AK863">
        <v>86</v>
      </c>
      <c r="AL863" t="s">
        <v>362</v>
      </c>
      <c r="AM863" t="s">
        <v>363</v>
      </c>
      <c r="AN863" t="s">
        <v>364</v>
      </c>
      <c r="AO863" t="s">
        <v>365</v>
      </c>
      <c r="AP863" t="s">
        <v>366</v>
      </c>
      <c r="AQ863" t="s">
        <v>74</v>
      </c>
      <c r="AR863" t="s">
        <v>351</v>
      </c>
      <c r="AS863" t="s">
        <v>367</v>
      </c>
      <c r="AT863" t="s">
        <v>13426</v>
      </c>
      <c r="AU863">
        <v>2007</v>
      </c>
      <c r="AV863">
        <v>445</v>
      </c>
      <c r="AW863">
        <v>7125</v>
      </c>
      <c r="AX863" t="s">
        <v>74</v>
      </c>
      <c r="AY863" t="s">
        <v>74</v>
      </c>
      <c r="AZ863" t="s">
        <v>74</v>
      </c>
      <c r="BA863" t="s">
        <v>74</v>
      </c>
      <c r="BB863">
        <v>299</v>
      </c>
      <c r="BC863">
        <v>302</v>
      </c>
      <c r="BD863" t="s">
        <v>74</v>
      </c>
      <c r="BE863" t="s">
        <v>13441</v>
      </c>
      <c r="BF863" t="str">
        <f>HYPERLINK("http://dx.doi.org/10.1038/nature05477","http://dx.doi.org/10.1038/nature05477")</f>
        <v>http://dx.doi.org/10.1038/nature05477</v>
      </c>
      <c r="BG863" t="s">
        <v>74</v>
      </c>
      <c r="BH863" t="s">
        <v>74</v>
      </c>
      <c r="BI863">
        <v>4</v>
      </c>
      <c r="BJ863" t="s">
        <v>241</v>
      </c>
      <c r="BK863" t="s">
        <v>98</v>
      </c>
      <c r="BL863" t="s">
        <v>242</v>
      </c>
      <c r="BM863" t="s">
        <v>13442</v>
      </c>
      <c r="BN863">
        <v>17230187</v>
      </c>
      <c r="BO863" t="s">
        <v>198</v>
      </c>
      <c r="BP863" t="s">
        <v>74</v>
      </c>
      <c r="BQ863" t="s">
        <v>74</v>
      </c>
      <c r="BR863" t="s">
        <v>101</v>
      </c>
      <c r="BS863" t="s">
        <v>13443</v>
      </c>
      <c r="BT863" t="str">
        <f>HYPERLINK("https%3A%2F%2Fwww.webofscience.com%2Fwos%2Fwoscc%2Ffull-record%2FWOS:000243504700041","View Full Record in Web of Science")</f>
        <v>View Full Record in Web of Science</v>
      </c>
    </row>
    <row r="864" spans="1:72" x14ac:dyDescent="0.15">
      <c r="A864" t="s">
        <v>72</v>
      </c>
      <c r="B864" t="s">
        <v>13444</v>
      </c>
      <c r="C864" t="s">
        <v>74</v>
      </c>
      <c r="D864" t="s">
        <v>74</v>
      </c>
      <c r="E864" t="s">
        <v>74</v>
      </c>
      <c r="F864" t="s">
        <v>13445</v>
      </c>
      <c r="G864" t="s">
        <v>74</v>
      </c>
      <c r="H864" t="s">
        <v>74</v>
      </c>
      <c r="I864" t="s">
        <v>13446</v>
      </c>
      <c r="J864" t="s">
        <v>492</v>
      </c>
      <c r="K864" t="s">
        <v>74</v>
      </c>
      <c r="L864" t="s">
        <v>74</v>
      </c>
      <c r="M864" t="s">
        <v>78</v>
      </c>
      <c r="N864" t="s">
        <v>79</v>
      </c>
      <c r="O864" t="s">
        <v>74</v>
      </c>
      <c r="P864" t="s">
        <v>74</v>
      </c>
      <c r="Q864" t="s">
        <v>74</v>
      </c>
      <c r="R864" t="s">
        <v>74</v>
      </c>
      <c r="S864" t="s">
        <v>74</v>
      </c>
      <c r="T864" t="s">
        <v>13447</v>
      </c>
      <c r="U864" t="s">
        <v>13448</v>
      </c>
      <c r="V864" t="s">
        <v>13449</v>
      </c>
      <c r="W864" t="s">
        <v>13450</v>
      </c>
      <c r="X864" t="s">
        <v>13451</v>
      </c>
      <c r="Y864" t="s">
        <v>13452</v>
      </c>
      <c r="Z864" t="s">
        <v>13453</v>
      </c>
      <c r="AA864" t="s">
        <v>74</v>
      </c>
      <c r="AB864" t="s">
        <v>13454</v>
      </c>
      <c r="AC864" t="s">
        <v>74</v>
      </c>
      <c r="AD864" t="s">
        <v>74</v>
      </c>
      <c r="AE864" t="s">
        <v>74</v>
      </c>
      <c r="AF864" t="s">
        <v>74</v>
      </c>
      <c r="AG864">
        <v>26</v>
      </c>
      <c r="AH864">
        <v>8</v>
      </c>
      <c r="AI864">
        <v>8</v>
      </c>
      <c r="AJ864">
        <v>0</v>
      </c>
      <c r="AK864">
        <v>0</v>
      </c>
      <c r="AL864" t="s">
        <v>500</v>
      </c>
      <c r="AM864" t="s">
        <v>501</v>
      </c>
      <c r="AN864" t="s">
        <v>502</v>
      </c>
      <c r="AO864" t="s">
        <v>503</v>
      </c>
      <c r="AP864" t="s">
        <v>504</v>
      </c>
      <c r="AQ864" t="s">
        <v>74</v>
      </c>
      <c r="AR864" t="s">
        <v>492</v>
      </c>
      <c r="AS864" t="s">
        <v>505</v>
      </c>
      <c r="AT864" t="s">
        <v>13426</v>
      </c>
      <c r="AU864">
        <v>2007</v>
      </c>
      <c r="AV864" t="s">
        <v>74</v>
      </c>
      <c r="AW864">
        <v>1394</v>
      </c>
      <c r="AX864" t="s">
        <v>74</v>
      </c>
      <c r="AY864" t="s">
        <v>74</v>
      </c>
      <c r="AZ864" t="s">
        <v>74</v>
      </c>
      <c r="BA864" t="s">
        <v>74</v>
      </c>
      <c r="BB864">
        <v>47</v>
      </c>
      <c r="BC864">
        <v>68</v>
      </c>
      <c r="BD864" t="s">
        <v>74</v>
      </c>
      <c r="BE864" t="s">
        <v>74</v>
      </c>
      <c r="BF864" t="s">
        <v>74</v>
      </c>
      <c r="BG864" t="s">
        <v>74</v>
      </c>
      <c r="BH864" t="s">
        <v>74</v>
      </c>
      <c r="BI864">
        <v>22</v>
      </c>
      <c r="BJ864" t="s">
        <v>507</v>
      </c>
      <c r="BK864" t="s">
        <v>98</v>
      </c>
      <c r="BL864" t="s">
        <v>507</v>
      </c>
      <c r="BM864" t="s">
        <v>13455</v>
      </c>
      <c r="BN864" t="s">
        <v>74</v>
      </c>
      <c r="BO864" t="s">
        <v>74</v>
      </c>
      <c r="BP864" t="s">
        <v>74</v>
      </c>
      <c r="BQ864" t="s">
        <v>74</v>
      </c>
      <c r="BR864" t="s">
        <v>101</v>
      </c>
      <c r="BS864" t="s">
        <v>13456</v>
      </c>
      <c r="BT864" t="str">
        <f>HYPERLINK("https%3A%2F%2Fwww.webofscience.com%2Fwos%2Fwoscc%2Ffull-record%2FWOS:000243589100003","View Full Record in Web of Science")</f>
        <v>View Full Record in Web of Science</v>
      </c>
    </row>
    <row r="865" spans="1:72" x14ac:dyDescent="0.15">
      <c r="A865" t="s">
        <v>72</v>
      </c>
      <c r="B865" t="s">
        <v>13457</v>
      </c>
      <c r="C865" t="s">
        <v>74</v>
      </c>
      <c r="D865" t="s">
        <v>74</v>
      </c>
      <c r="E865" t="s">
        <v>74</v>
      </c>
      <c r="F865" t="s">
        <v>13458</v>
      </c>
      <c r="G865" t="s">
        <v>74</v>
      </c>
      <c r="H865" t="s">
        <v>74</v>
      </c>
      <c r="I865" t="s">
        <v>13459</v>
      </c>
      <c r="J865" t="s">
        <v>1046</v>
      </c>
      <c r="K865" t="s">
        <v>74</v>
      </c>
      <c r="L865" t="s">
        <v>74</v>
      </c>
      <c r="M865" t="s">
        <v>78</v>
      </c>
      <c r="N865" t="s">
        <v>79</v>
      </c>
      <c r="O865" t="s">
        <v>74</v>
      </c>
      <c r="P865" t="s">
        <v>74</v>
      </c>
      <c r="Q865" t="s">
        <v>74</v>
      </c>
      <c r="R865" t="s">
        <v>74</v>
      </c>
      <c r="S865" t="s">
        <v>74</v>
      </c>
      <c r="T865" t="s">
        <v>13460</v>
      </c>
      <c r="U865" t="s">
        <v>13461</v>
      </c>
      <c r="V865" t="s">
        <v>13462</v>
      </c>
      <c r="W865" t="s">
        <v>13463</v>
      </c>
      <c r="X865" t="s">
        <v>2400</v>
      </c>
      <c r="Y865" t="s">
        <v>13464</v>
      </c>
      <c r="Z865" t="s">
        <v>13465</v>
      </c>
      <c r="AA865" t="s">
        <v>13466</v>
      </c>
      <c r="AB865" t="s">
        <v>13467</v>
      </c>
      <c r="AC865" t="s">
        <v>2461</v>
      </c>
      <c r="AD865" t="s">
        <v>361</v>
      </c>
      <c r="AE865" t="s">
        <v>74</v>
      </c>
      <c r="AF865" t="s">
        <v>74</v>
      </c>
      <c r="AG865">
        <v>61</v>
      </c>
      <c r="AH865">
        <v>174</v>
      </c>
      <c r="AI865">
        <v>190</v>
      </c>
      <c r="AJ865">
        <v>0</v>
      </c>
      <c r="AK865">
        <v>55</v>
      </c>
      <c r="AL865" t="s">
        <v>141</v>
      </c>
      <c r="AM865" t="s">
        <v>142</v>
      </c>
      <c r="AN865" t="s">
        <v>143</v>
      </c>
      <c r="AO865" t="s">
        <v>1054</v>
      </c>
      <c r="AP865" t="s">
        <v>74</v>
      </c>
      <c r="AQ865" t="s">
        <v>74</v>
      </c>
      <c r="AR865" t="s">
        <v>1055</v>
      </c>
      <c r="AS865" t="s">
        <v>1056</v>
      </c>
      <c r="AT865" t="s">
        <v>13468</v>
      </c>
      <c r="AU865">
        <v>2007</v>
      </c>
      <c r="AV865">
        <v>8</v>
      </c>
      <c r="AW865" t="s">
        <v>74</v>
      </c>
      <c r="AX865" t="s">
        <v>74</v>
      </c>
      <c r="AY865" t="s">
        <v>74</v>
      </c>
      <c r="AZ865" t="s">
        <v>74</v>
      </c>
      <c r="BA865" t="s">
        <v>74</v>
      </c>
      <c r="BB865" t="s">
        <v>74</v>
      </c>
      <c r="BC865" t="s">
        <v>74</v>
      </c>
      <c r="BD865" t="s">
        <v>13469</v>
      </c>
      <c r="BE865" t="s">
        <v>13470</v>
      </c>
      <c r="BF865" t="str">
        <f>HYPERLINK("http://dx.doi.org/10.1029/2005GC001224","http://dx.doi.org/10.1029/2005GC001224")</f>
        <v>http://dx.doi.org/10.1029/2005GC001224</v>
      </c>
      <c r="BG865" t="s">
        <v>74</v>
      </c>
      <c r="BH865" t="s">
        <v>74</v>
      </c>
      <c r="BI865">
        <v>11</v>
      </c>
      <c r="BJ865" t="s">
        <v>688</v>
      </c>
      <c r="BK865" t="s">
        <v>98</v>
      </c>
      <c r="BL865" t="s">
        <v>688</v>
      </c>
      <c r="BM865" t="s">
        <v>13471</v>
      </c>
      <c r="BN865" t="s">
        <v>74</v>
      </c>
      <c r="BO865" t="s">
        <v>154</v>
      </c>
      <c r="BP865" t="s">
        <v>74</v>
      </c>
      <c r="BQ865" t="s">
        <v>74</v>
      </c>
      <c r="BR865" t="s">
        <v>101</v>
      </c>
      <c r="BS865" t="s">
        <v>13472</v>
      </c>
      <c r="BT865" t="str">
        <f>HYPERLINK("https%3A%2F%2Fwww.webofscience.com%2Fwos%2Fwoscc%2Ffull-record%2FWOS:000243847900001","View Full Record in Web of Science")</f>
        <v>View Full Record in Web of Science</v>
      </c>
    </row>
    <row r="866" spans="1:72" x14ac:dyDescent="0.15">
      <c r="A866" t="s">
        <v>72</v>
      </c>
      <c r="B866" t="s">
        <v>13473</v>
      </c>
      <c r="C866" t="s">
        <v>74</v>
      </c>
      <c r="D866" t="s">
        <v>74</v>
      </c>
      <c r="E866" t="s">
        <v>74</v>
      </c>
      <c r="F866" t="s">
        <v>13474</v>
      </c>
      <c r="G866" t="s">
        <v>74</v>
      </c>
      <c r="H866" t="s">
        <v>74</v>
      </c>
      <c r="I866" t="s">
        <v>13475</v>
      </c>
      <c r="J866" t="s">
        <v>130</v>
      </c>
      <c r="K866" t="s">
        <v>74</v>
      </c>
      <c r="L866" t="s">
        <v>74</v>
      </c>
      <c r="M866" t="s">
        <v>78</v>
      </c>
      <c r="N866" t="s">
        <v>79</v>
      </c>
      <c r="O866" t="s">
        <v>74</v>
      </c>
      <c r="P866" t="s">
        <v>74</v>
      </c>
      <c r="Q866" t="s">
        <v>74</v>
      </c>
      <c r="R866" t="s">
        <v>74</v>
      </c>
      <c r="S866" t="s">
        <v>74</v>
      </c>
      <c r="T866" t="s">
        <v>74</v>
      </c>
      <c r="U866" t="s">
        <v>13476</v>
      </c>
      <c r="V866" t="s">
        <v>13477</v>
      </c>
      <c r="W866" t="s">
        <v>13478</v>
      </c>
      <c r="X866" t="s">
        <v>13479</v>
      </c>
      <c r="Y866" t="s">
        <v>13480</v>
      </c>
      <c r="Z866" t="s">
        <v>13481</v>
      </c>
      <c r="AA866" t="s">
        <v>74</v>
      </c>
      <c r="AB866" t="s">
        <v>13482</v>
      </c>
      <c r="AC866" t="s">
        <v>13483</v>
      </c>
      <c r="AD866" t="s">
        <v>13484</v>
      </c>
      <c r="AE866" t="s">
        <v>74</v>
      </c>
      <c r="AF866" t="s">
        <v>74</v>
      </c>
      <c r="AG866">
        <v>23</v>
      </c>
      <c r="AH866">
        <v>19</v>
      </c>
      <c r="AI866">
        <v>21</v>
      </c>
      <c r="AJ866">
        <v>1</v>
      </c>
      <c r="AK866">
        <v>22</v>
      </c>
      <c r="AL866" t="s">
        <v>141</v>
      </c>
      <c r="AM866" t="s">
        <v>142</v>
      </c>
      <c r="AN866" t="s">
        <v>143</v>
      </c>
      <c r="AO866" t="s">
        <v>144</v>
      </c>
      <c r="AP866" t="s">
        <v>145</v>
      </c>
      <c r="AQ866" t="s">
        <v>74</v>
      </c>
      <c r="AR866" t="s">
        <v>146</v>
      </c>
      <c r="AS866" t="s">
        <v>147</v>
      </c>
      <c r="AT866" t="s">
        <v>13485</v>
      </c>
      <c r="AU866">
        <v>2007</v>
      </c>
      <c r="AV866">
        <v>34</v>
      </c>
      <c r="AW866">
        <v>2</v>
      </c>
      <c r="AX866" t="s">
        <v>74</v>
      </c>
      <c r="AY866" t="s">
        <v>74</v>
      </c>
      <c r="AZ866" t="s">
        <v>74</v>
      </c>
      <c r="BA866" t="s">
        <v>74</v>
      </c>
      <c r="BB866" t="s">
        <v>74</v>
      </c>
      <c r="BC866" t="s">
        <v>74</v>
      </c>
      <c r="BD866" t="s">
        <v>13486</v>
      </c>
      <c r="BE866" t="s">
        <v>13487</v>
      </c>
      <c r="BF866" t="str">
        <f>HYPERLINK("http://dx.doi.org/10.1029/2006GL028150","http://dx.doi.org/10.1029/2006GL028150")</f>
        <v>http://dx.doi.org/10.1029/2006GL028150</v>
      </c>
      <c r="BG866" t="s">
        <v>74</v>
      </c>
      <c r="BH866" t="s">
        <v>74</v>
      </c>
      <c r="BI866">
        <v>4</v>
      </c>
      <c r="BJ866" t="s">
        <v>151</v>
      </c>
      <c r="BK866" t="s">
        <v>98</v>
      </c>
      <c r="BL866" t="s">
        <v>152</v>
      </c>
      <c r="BM866" t="s">
        <v>13488</v>
      </c>
      <c r="BN866" t="s">
        <v>74</v>
      </c>
      <c r="BO866" t="s">
        <v>74</v>
      </c>
      <c r="BP866" t="s">
        <v>74</v>
      </c>
      <c r="BQ866" t="s">
        <v>74</v>
      </c>
      <c r="BR866" t="s">
        <v>101</v>
      </c>
      <c r="BS866" t="s">
        <v>13489</v>
      </c>
      <c r="BT866" t="str">
        <f>HYPERLINK("https%3A%2F%2Fwww.webofscience.com%2Fwos%2Fwoscc%2Ffull-record%2FWOS:000243848200003","View Full Record in Web of Science")</f>
        <v>View Full Record in Web of Science</v>
      </c>
    </row>
    <row r="867" spans="1:72" x14ac:dyDescent="0.15">
      <c r="A867" t="s">
        <v>72</v>
      </c>
      <c r="B867" t="s">
        <v>13490</v>
      </c>
      <c r="C867" t="s">
        <v>74</v>
      </c>
      <c r="D867" t="s">
        <v>74</v>
      </c>
      <c r="E867" t="s">
        <v>74</v>
      </c>
      <c r="F867" t="s">
        <v>13491</v>
      </c>
      <c r="G867" t="s">
        <v>74</v>
      </c>
      <c r="H867" t="s">
        <v>74</v>
      </c>
      <c r="I867" t="s">
        <v>13492</v>
      </c>
      <c r="J867" t="s">
        <v>130</v>
      </c>
      <c r="K867" t="s">
        <v>74</v>
      </c>
      <c r="L867" t="s">
        <v>74</v>
      </c>
      <c r="M867" t="s">
        <v>78</v>
      </c>
      <c r="N867" t="s">
        <v>79</v>
      </c>
      <c r="O867" t="s">
        <v>74</v>
      </c>
      <c r="P867" t="s">
        <v>74</v>
      </c>
      <c r="Q867" t="s">
        <v>74</v>
      </c>
      <c r="R867" t="s">
        <v>74</v>
      </c>
      <c r="S867" t="s">
        <v>74</v>
      </c>
      <c r="T867" t="s">
        <v>74</v>
      </c>
      <c r="U867" t="s">
        <v>13493</v>
      </c>
      <c r="V867" t="s">
        <v>13494</v>
      </c>
      <c r="W867" t="s">
        <v>13495</v>
      </c>
      <c r="X867" t="s">
        <v>13496</v>
      </c>
      <c r="Y867" t="s">
        <v>13497</v>
      </c>
      <c r="Z867" t="s">
        <v>13498</v>
      </c>
      <c r="AA867" t="s">
        <v>13499</v>
      </c>
      <c r="AB867" t="s">
        <v>13500</v>
      </c>
      <c r="AC867" t="s">
        <v>13501</v>
      </c>
      <c r="AD867" t="s">
        <v>140</v>
      </c>
      <c r="AE867" t="s">
        <v>74</v>
      </c>
      <c r="AF867" t="s">
        <v>74</v>
      </c>
      <c r="AG867">
        <v>26</v>
      </c>
      <c r="AH867">
        <v>143</v>
      </c>
      <c r="AI867">
        <v>164</v>
      </c>
      <c r="AJ867">
        <v>0</v>
      </c>
      <c r="AK867">
        <v>35</v>
      </c>
      <c r="AL867" t="s">
        <v>141</v>
      </c>
      <c r="AM867" t="s">
        <v>142</v>
      </c>
      <c r="AN867" t="s">
        <v>143</v>
      </c>
      <c r="AO867" t="s">
        <v>144</v>
      </c>
      <c r="AP867" t="s">
        <v>145</v>
      </c>
      <c r="AQ867" t="s">
        <v>74</v>
      </c>
      <c r="AR867" t="s">
        <v>146</v>
      </c>
      <c r="AS867" t="s">
        <v>147</v>
      </c>
      <c r="AT867" t="s">
        <v>13485</v>
      </c>
      <c r="AU867">
        <v>2007</v>
      </c>
      <c r="AV867">
        <v>34</v>
      </c>
      <c r="AW867">
        <v>2</v>
      </c>
      <c r="AX867" t="s">
        <v>74</v>
      </c>
      <c r="AY867" t="s">
        <v>74</v>
      </c>
      <c r="AZ867" t="s">
        <v>74</v>
      </c>
      <c r="BA867" t="s">
        <v>74</v>
      </c>
      <c r="BB867" t="s">
        <v>74</v>
      </c>
      <c r="BC867" t="s">
        <v>74</v>
      </c>
      <c r="BD867" t="s">
        <v>13502</v>
      </c>
      <c r="BE867" t="s">
        <v>13503</v>
      </c>
      <c r="BF867" t="str">
        <f>HYPERLINK("http://dx.doi.org/10.1029/2006GL028154","http://dx.doi.org/10.1029/2006GL028154")</f>
        <v>http://dx.doi.org/10.1029/2006GL028154</v>
      </c>
      <c r="BG867" t="s">
        <v>74</v>
      </c>
      <c r="BH867" t="s">
        <v>74</v>
      </c>
      <c r="BI867">
        <v>4</v>
      </c>
      <c r="BJ867" t="s">
        <v>151</v>
      </c>
      <c r="BK867" t="s">
        <v>98</v>
      </c>
      <c r="BL867" t="s">
        <v>152</v>
      </c>
      <c r="BM867" t="s">
        <v>13488</v>
      </c>
      <c r="BN867" t="s">
        <v>74</v>
      </c>
      <c r="BO867" t="s">
        <v>833</v>
      </c>
      <c r="BP867" t="s">
        <v>74</v>
      </c>
      <c r="BQ867" t="s">
        <v>74</v>
      </c>
      <c r="BR867" t="s">
        <v>101</v>
      </c>
      <c r="BS867" t="s">
        <v>13504</v>
      </c>
      <c r="BT867" t="str">
        <f>HYPERLINK("https%3A%2F%2Fwww.webofscience.com%2Fwos%2Fwoscc%2Ffull-record%2FWOS:000243848200004","View Full Record in Web of Science")</f>
        <v>View Full Record in Web of Science</v>
      </c>
    </row>
    <row r="868" spans="1:72" x14ac:dyDescent="0.15">
      <c r="A868" t="s">
        <v>72</v>
      </c>
      <c r="B868" t="s">
        <v>13505</v>
      </c>
      <c r="C868" t="s">
        <v>74</v>
      </c>
      <c r="D868" t="s">
        <v>74</v>
      </c>
      <c r="E868" t="s">
        <v>74</v>
      </c>
      <c r="F868" t="s">
        <v>13506</v>
      </c>
      <c r="G868" t="s">
        <v>74</v>
      </c>
      <c r="H868" t="s">
        <v>74</v>
      </c>
      <c r="I868" t="s">
        <v>13507</v>
      </c>
      <c r="J868" t="s">
        <v>2184</v>
      </c>
      <c r="K868" t="s">
        <v>74</v>
      </c>
      <c r="L868" t="s">
        <v>74</v>
      </c>
      <c r="M868" t="s">
        <v>78</v>
      </c>
      <c r="N868" t="s">
        <v>79</v>
      </c>
      <c r="O868" t="s">
        <v>74</v>
      </c>
      <c r="P868" t="s">
        <v>74</v>
      </c>
      <c r="Q868" t="s">
        <v>74</v>
      </c>
      <c r="R868" t="s">
        <v>74</v>
      </c>
      <c r="S868" t="s">
        <v>74</v>
      </c>
      <c r="T868" t="s">
        <v>13508</v>
      </c>
      <c r="U868" t="s">
        <v>13509</v>
      </c>
      <c r="V868" t="s">
        <v>13510</v>
      </c>
      <c r="W868" t="s">
        <v>13511</v>
      </c>
      <c r="X868" t="s">
        <v>13512</v>
      </c>
      <c r="Y868" t="s">
        <v>13513</v>
      </c>
      <c r="Z868" t="s">
        <v>13514</v>
      </c>
      <c r="AA868" t="s">
        <v>13515</v>
      </c>
      <c r="AB868" t="s">
        <v>13516</v>
      </c>
      <c r="AC868" t="s">
        <v>74</v>
      </c>
      <c r="AD868" t="s">
        <v>74</v>
      </c>
      <c r="AE868" t="s">
        <v>74</v>
      </c>
      <c r="AF868" t="s">
        <v>74</v>
      </c>
      <c r="AG868">
        <v>33</v>
      </c>
      <c r="AH868">
        <v>49</v>
      </c>
      <c r="AI868">
        <v>56</v>
      </c>
      <c r="AJ868">
        <v>0</v>
      </c>
      <c r="AK868">
        <v>45</v>
      </c>
      <c r="AL868" t="s">
        <v>592</v>
      </c>
      <c r="AM868" t="s">
        <v>273</v>
      </c>
      <c r="AN868" t="s">
        <v>593</v>
      </c>
      <c r="AO868" t="s">
        <v>2192</v>
      </c>
      <c r="AP868" t="s">
        <v>2193</v>
      </c>
      <c r="AQ868" t="s">
        <v>74</v>
      </c>
      <c r="AR868" t="s">
        <v>2194</v>
      </c>
      <c r="AS868" t="s">
        <v>2195</v>
      </c>
      <c r="AT868" t="s">
        <v>13485</v>
      </c>
      <c r="AU868">
        <v>2007</v>
      </c>
      <c r="AV868">
        <v>103</v>
      </c>
      <c r="AW868" t="s">
        <v>686</v>
      </c>
      <c r="AX868" t="s">
        <v>74</v>
      </c>
      <c r="AY868" t="s">
        <v>74</v>
      </c>
      <c r="AZ868" t="s">
        <v>74</v>
      </c>
      <c r="BA868" t="s">
        <v>74</v>
      </c>
      <c r="BB868">
        <v>227</v>
      </c>
      <c r="BC868">
        <v>236</v>
      </c>
      <c r="BD868" t="s">
        <v>74</v>
      </c>
      <c r="BE868" t="s">
        <v>13517</v>
      </c>
      <c r="BF868" t="str">
        <f>HYPERLINK("http://dx.doi.org/10.1016/j.marchem.2006.08.003","http://dx.doi.org/10.1016/j.marchem.2006.08.003")</f>
        <v>http://dx.doi.org/10.1016/j.marchem.2006.08.003</v>
      </c>
      <c r="BG868" t="s">
        <v>74</v>
      </c>
      <c r="BH868" t="s">
        <v>74</v>
      </c>
      <c r="BI868">
        <v>10</v>
      </c>
      <c r="BJ868" t="s">
        <v>2197</v>
      </c>
      <c r="BK868" t="s">
        <v>98</v>
      </c>
      <c r="BL868" t="s">
        <v>2198</v>
      </c>
      <c r="BM868" t="s">
        <v>13518</v>
      </c>
      <c r="BN868" t="s">
        <v>74</v>
      </c>
      <c r="BO868" t="s">
        <v>74</v>
      </c>
      <c r="BP868" t="s">
        <v>74</v>
      </c>
      <c r="BQ868" t="s">
        <v>74</v>
      </c>
      <c r="BR868" t="s">
        <v>101</v>
      </c>
      <c r="BS868" t="s">
        <v>13519</v>
      </c>
      <c r="BT868" t="str">
        <f>HYPERLINK("https%3A%2F%2Fwww.webofscience.com%2Fwos%2Fwoscc%2Ffull-record%2FWOS:000244392000002","View Full Record in Web of Science")</f>
        <v>View Full Record in Web of Science</v>
      </c>
    </row>
    <row r="869" spans="1:72" x14ac:dyDescent="0.15">
      <c r="A869" t="s">
        <v>72</v>
      </c>
      <c r="B869" t="s">
        <v>13520</v>
      </c>
      <c r="C869" t="s">
        <v>74</v>
      </c>
      <c r="D869" t="s">
        <v>74</v>
      </c>
      <c r="E869" t="s">
        <v>74</v>
      </c>
      <c r="F869" t="s">
        <v>13521</v>
      </c>
      <c r="G869" t="s">
        <v>74</v>
      </c>
      <c r="H869" t="s">
        <v>74</v>
      </c>
      <c r="I869" t="s">
        <v>13522</v>
      </c>
      <c r="J869" t="s">
        <v>694</v>
      </c>
      <c r="K869" t="s">
        <v>74</v>
      </c>
      <c r="L869" t="s">
        <v>74</v>
      </c>
      <c r="M869" t="s">
        <v>78</v>
      </c>
      <c r="N869" t="s">
        <v>79</v>
      </c>
      <c r="O869" t="s">
        <v>74</v>
      </c>
      <c r="P869" t="s">
        <v>74</v>
      </c>
      <c r="Q869" t="s">
        <v>74</v>
      </c>
      <c r="R869" t="s">
        <v>74</v>
      </c>
      <c r="S869" t="s">
        <v>74</v>
      </c>
      <c r="T869" t="s">
        <v>13523</v>
      </c>
      <c r="U869" t="s">
        <v>13524</v>
      </c>
      <c r="V869" t="s">
        <v>13525</v>
      </c>
      <c r="W869" t="s">
        <v>13526</v>
      </c>
      <c r="X869" t="s">
        <v>13527</v>
      </c>
      <c r="Y869" t="s">
        <v>13528</v>
      </c>
      <c r="Z869" t="s">
        <v>13529</v>
      </c>
      <c r="AA869" t="s">
        <v>13530</v>
      </c>
      <c r="AB869" t="s">
        <v>13531</v>
      </c>
      <c r="AC869" t="s">
        <v>74</v>
      </c>
      <c r="AD869" t="s">
        <v>74</v>
      </c>
      <c r="AE869" t="s">
        <v>74</v>
      </c>
      <c r="AF869" t="s">
        <v>74</v>
      </c>
      <c r="AG869">
        <v>36</v>
      </c>
      <c r="AH869">
        <v>45</v>
      </c>
      <c r="AI869">
        <v>54</v>
      </c>
      <c r="AJ869">
        <v>0</v>
      </c>
      <c r="AK869">
        <v>22</v>
      </c>
      <c r="AL869" t="s">
        <v>272</v>
      </c>
      <c r="AM869" t="s">
        <v>273</v>
      </c>
      <c r="AN869" t="s">
        <v>274</v>
      </c>
      <c r="AO869" t="s">
        <v>704</v>
      </c>
      <c r="AP869" t="s">
        <v>705</v>
      </c>
      <c r="AQ869" t="s">
        <v>74</v>
      </c>
      <c r="AR869" t="s">
        <v>706</v>
      </c>
      <c r="AS869" t="s">
        <v>707</v>
      </c>
      <c r="AT869" t="s">
        <v>13532</v>
      </c>
      <c r="AU869">
        <v>2007</v>
      </c>
      <c r="AV869">
        <v>253</v>
      </c>
      <c r="AW869" t="s">
        <v>280</v>
      </c>
      <c r="AX869" t="s">
        <v>74</v>
      </c>
      <c r="AY869" t="s">
        <v>74</v>
      </c>
      <c r="AZ869" t="s">
        <v>74</v>
      </c>
      <c r="BA869" t="s">
        <v>74</v>
      </c>
      <c r="BB869">
        <v>151</v>
      </c>
      <c r="BC869">
        <v>158</v>
      </c>
      <c r="BD869" t="s">
        <v>74</v>
      </c>
      <c r="BE869" t="s">
        <v>13533</v>
      </c>
      <c r="BF869" t="str">
        <f>HYPERLINK("http://dx.doi.org/10.1016/j.epsl.2006.10.023","http://dx.doi.org/10.1016/j.epsl.2006.10.023")</f>
        <v>http://dx.doi.org/10.1016/j.epsl.2006.10.023</v>
      </c>
      <c r="BG869" t="s">
        <v>74</v>
      </c>
      <c r="BH869" t="s">
        <v>74</v>
      </c>
      <c r="BI869">
        <v>8</v>
      </c>
      <c r="BJ869" t="s">
        <v>688</v>
      </c>
      <c r="BK869" t="s">
        <v>98</v>
      </c>
      <c r="BL869" t="s">
        <v>688</v>
      </c>
      <c r="BM869" t="s">
        <v>13534</v>
      </c>
      <c r="BN869" t="s">
        <v>74</v>
      </c>
      <c r="BO869" t="s">
        <v>74</v>
      </c>
      <c r="BP869" t="s">
        <v>74</v>
      </c>
      <c r="BQ869" t="s">
        <v>74</v>
      </c>
      <c r="BR869" t="s">
        <v>101</v>
      </c>
      <c r="BS869" t="s">
        <v>13535</v>
      </c>
      <c r="BT869" t="str">
        <f>HYPERLINK("https%3A%2F%2Fwww.webofscience.com%2Fwos%2Fwoscc%2Ffull-record%2FWOS:000244194800012","View Full Record in Web of Science")</f>
        <v>View Full Record in Web of Science</v>
      </c>
    </row>
    <row r="870" spans="1:72" x14ac:dyDescent="0.15">
      <c r="A870" t="s">
        <v>72</v>
      </c>
      <c r="B870" t="s">
        <v>13536</v>
      </c>
      <c r="C870" t="s">
        <v>74</v>
      </c>
      <c r="D870" t="s">
        <v>74</v>
      </c>
      <c r="E870" t="s">
        <v>74</v>
      </c>
      <c r="F870" t="s">
        <v>13537</v>
      </c>
      <c r="G870" t="s">
        <v>74</v>
      </c>
      <c r="H870" t="s">
        <v>74</v>
      </c>
      <c r="I870" t="s">
        <v>13538</v>
      </c>
      <c r="J870" t="s">
        <v>13539</v>
      </c>
      <c r="K870" t="s">
        <v>74</v>
      </c>
      <c r="L870" t="s">
        <v>74</v>
      </c>
      <c r="M870" t="s">
        <v>78</v>
      </c>
      <c r="N870" t="s">
        <v>248</v>
      </c>
      <c r="O870" t="s">
        <v>74</v>
      </c>
      <c r="P870" t="s">
        <v>74</v>
      </c>
      <c r="Q870" t="s">
        <v>74</v>
      </c>
      <c r="R870" t="s">
        <v>74</v>
      </c>
      <c r="S870" t="s">
        <v>74</v>
      </c>
      <c r="T870" t="s">
        <v>13540</v>
      </c>
      <c r="U870" t="s">
        <v>13541</v>
      </c>
      <c r="V870" t="s">
        <v>13542</v>
      </c>
      <c r="W870" t="s">
        <v>13543</v>
      </c>
      <c r="X870" t="s">
        <v>13544</v>
      </c>
      <c r="Y870" t="s">
        <v>13545</v>
      </c>
      <c r="Z870" t="s">
        <v>13546</v>
      </c>
      <c r="AA870" t="s">
        <v>74</v>
      </c>
      <c r="AB870" t="s">
        <v>13547</v>
      </c>
      <c r="AC870" t="s">
        <v>74</v>
      </c>
      <c r="AD870" t="s">
        <v>74</v>
      </c>
      <c r="AE870" t="s">
        <v>74</v>
      </c>
      <c r="AF870" t="s">
        <v>74</v>
      </c>
      <c r="AG870">
        <v>105</v>
      </c>
      <c r="AH870">
        <v>29</v>
      </c>
      <c r="AI870">
        <v>29</v>
      </c>
      <c r="AJ870">
        <v>0</v>
      </c>
      <c r="AK870">
        <v>16</v>
      </c>
      <c r="AL870" t="s">
        <v>1503</v>
      </c>
      <c r="AM870" t="s">
        <v>1504</v>
      </c>
      <c r="AN870" t="s">
        <v>1505</v>
      </c>
      <c r="AO870" t="s">
        <v>13548</v>
      </c>
      <c r="AP870" t="s">
        <v>13549</v>
      </c>
      <c r="AQ870" t="s">
        <v>74</v>
      </c>
      <c r="AR870" t="s">
        <v>13550</v>
      </c>
      <c r="AS870" t="s">
        <v>13551</v>
      </c>
      <c r="AT870" t="s">
        <v>13532</v>
      </c>
      <c r="AU870">
        <v>2007</v>
      </c>
      <c r="AV870">
        <v>29</v>
      </c>
      <c r="AW870">
        <v>1</v>
      </c>
      <c r="AX870" t="s">
        <v>74</v>
      </c>
      <c r="AY870" t="s">
        <v>74</v>
      </c>
      <c r="AZ870" t="s">
        <v>74</v>
      </c>
      <c r="BA870" t="s">
        <v>74</v>
      </c>
      <c r="BB870">
        <v>41</v>
      </c>
      <c r="BC870">
        <v>61</v>
      </c>
      <c r="BD870" t="s">
        <v>74</v>
      </c>
      <c r="BE870" t="s">
        <v>13552</v>
      </c>
      <c r="BF870" t="str">
        <f>HYPERLINK("http://dx.doi.org/10.1016/j.jseaes.2006.01.002","http://dx.doi.org/10.1016/j.jseaes.2006.01.002")</f>
        <v>http://dx.doi.org/10.1016/j.jseaes.2006.01.002</v>
      </c>
      <c r="BG870" t="s">
        <v>74</v>
      </c>
      <c r="BH870" t="s">
        <v>74</v>
      </c>
      <c r="BI870">
        <v>21</v>
      </c>
      <c r="BJ870" t="s">
        <v>151</v>
      </c>
      <c r="BK870" t="s">
        <v>98</v>
      </c>
      <c r="BL870" t="s">
        <v>152</v>
      </c>
      <c r="BM870" t="s">
        <v>13553</v>
      </c>
      <c r="BN870" t="s">
        <v>74</v>
      </c>
      <c r="BO870" t="s">
        <v>74</v>
      </c>
      <c r="BP870" t="s">
        <v>74</v>
      </c>
      <c r="BQ870" t="s">
        <v>74</v>
      </c>
      <c r="BR870" t="s">
        <v>101</v>
      </c>
      <c r="BS870" t="s">
        <v>13554</v>
      </c>
      <c r="BT870" t="str">
        <f>HYPERLINK("https%3A%2F%2Fwww.webofscience.com%2Fwos%2Fwoscc%2Ffull-record%2FWOS:000245048900004","View Full Record in Web of Science")</f>
        <v>View Full Record in Web of Science</v>
      </c>
    </row>
    <row r="871" spans="1:72" x14ac:dyDescent="0.15">
      <c r="A871" t="s">
        <v>72</v>
      </c>
      <c r="B871" t="s">
        <v>13555</v>
      </c>
      <c r="C871" t="s">
        <v>74</v>
      </c>
      <c r="D871" t="s">
        <v>74</v>
      </c>
      <c r="E871" t="s">
        <v>74</v>
      </c>
      <c r="F871" t="s">
        <v>13556</v>
      </c>
      <c r="G871" t="s">
        <v>74</v>
      </c>
      <c r="H871" t="s">
        <v>74</v>
      </c>
      <c r="I871" t="s">
        <v>13557</v>
      </c>
      <c r="J871" t="s">
        <v>582</v>
      </c>
      <c r="K871" t="s">
        <v>74</v>
      </c>
      <c r="L871" t="s">
        <v>74</v>
      </c>
      <c r="M871" t="s">
        <v>78</v>
      </c>
      <c r="N871" t="s">
        <v>79</v>
      </c>
      <c r="O871" t="s">
        <v>74</v>
      </c>
      <c r="P871" t="s">
        <v>74</v>
      </c>
      <c r="Q871" t="s">
        <v>74</v>
      </c>
      <c r="R871" t="s">
        <v>74</v>
      </c>
      <c r="S871" t="s">
        <v>74</v>
      </c>
      <c r="T871" t="s">
        <v>13558</v>
      </c>
      <c r="U871" t="s">
        <v>13559</v>
      </c>
      <c r="V871" t="s">
        <v>13560</v>
      </c>
      <c r="W871" t="s">
        <v>13561</v>
      </c>
      <c r="X871" t="s">
        <v>13562</v>
      </c>
      <c r="Y871" t="s">
        <v>13563</v>
      </c>
      <c r="Z871" t="s">
        <v>13564</v>
      </c>
      <c r="AA871" t="s">
        <v>13565</v>
      </c>
      <c r="AB871" t="s">
        <v>13566</v>
      </c>
      <c r="AC871" t="s">
        <v>4770</v>
      </c>
      <c r="AD871" t="s">
        <v>140</v>
      </c>
      <c r="AE871" t="s">
        <v>74</v>
      </c>
      <c r="AF871" t="s">
        <v>74</v>
      </c>
      <c r="AG871">
        <v>59</v>
      </c>
      <c r="AH871">
        <v>15</v>
      </c>
      <c r="AI871">
        <v>15</v>
      </c>
      <c r="AJ871">
        <v>0</v>
      </c>
      <c r="AK871">
        <v>5</v>
      </c>
      <c r="AL871" t="s">
        <v>272</v>
      </c>
      <c r="AM871" t="s">
        <v>273</v>
      </c>
      <c r="AN871" t="s">
        <v>274</v>
      </c>
      <c r="AO871" t="s">
        <v>594</v>
      </c>
      <c r="AP871" t="s">
        <v>614</v>
      </c>
      <c r="AQ871" t="s">
        <v>74</v>
      </c>
      <c r="AR871" t="s">
        <v>595</v>
      </c>
      <c r="AS871" t="s">
        <v>596</v>
      </c>
      <c r="AT871" t="s">
        <v>13532</v>
      </c>
      <c r="AU871">
        <v>2007</v>
      </c>
      <c r="AV871">
        <v>236</v>
      </c>
      <c r="AW871" t="s">
        <v>280</v>
      </c>
      <c r="AX871" t="s">
        <v>74</v>
      </c>
      <c r="AY871" t="s">
        <v>74</v>
      </c>
      <c r="AZ871" t="s">
        <v>74</v>
      </c>
      <c r="BA871" t="s">
        <v>74</v>
      </c>
      <c r="BB871">
        <v>1</v>
      </c>
      <c r="BC871">
        <v>13</v>
      </c>
      <c r="BD871" t="s">
        <v>74</v>
      </c>
      <c r="BE871" t="s">
        <v>13567</v>
      </c>
      <c r="BF871" t="str">
        <f>HYPERLINK("http://dx.doi.org/10.1016/j.margeo.2006.09.008","http://dx.doi.org/10.1016/j.margeo.2006.09.008")</f>
        <v>http://dx.doi.org/10.1016/j.margeo.2006.09.008</v>
      </c>
      <c r="BG871" t="s">
        <v>74</v>
      </c>
      <c r="BH871" t="s">
        <v>74</v>
      </c>
      <c r="BI871">
        <v>13</v>
      </c>
      <c r="BJ871" t="s">
        <v>598</v>
      </c>
      <c r="BK871" t="s">
        <v>98</v>
      </c>
      <c r="BL871" t="s">
        <v>599</v>
      </c>
      <c r="BM871" t="s">
        <v>13568</v>
      </c>
      <c r="BN871" t="s">
        <v>74</v>
      </c>
      <c r="BO871" t="s">
        <v>74</v>
      </c>
      <c r="BP871" t="s">
        <v>74</v>
      </c>
      <c r="BQ871" t="s">
        <v>74</v>
      </c>
      <c r="BR871" t="s">
        <v>101</v>
      </c>
      <c r="BS871" t="s">
        <v>13569</v>
      </c>
      <c r="BT871" t="str">
        <f>HYPERLINK("https%3A%2F%2Fwww.webofscience.com%2Fwos%2Fwoscc%2Ffull-record%2FWOS:000244208300001","View Full Record in Web of Science")</f>
        <v>View Full Record in Web of Science</v>
      </c>
    </row>
    <row r="872" spans="1:72" x14ac:dyDescent="0.15">
      <c r="A872" t="s">
        <v>72</v>
      </c>
      <c r="B872" t="s">
        <v>13570</v>
      </c>
      <c r="C872" t="s">
        <v>74</v>
      </c>
      <c r="D872" t="s">
        <v>74</v>
      </c>
      <c r="E872" t="s">
        <v>74</v>
      </c>
      <c r="F872" t="s">
        <v>13571</v>
      </c>
      <c r="G872" t="s">
        <v>74</v>
      </c>
      <c r="H872" t="s">
        <v>74</v>
      </c>
      <c r="I872" t="s">
        <v>13572</v>
      </c>
      <c r="J872" t="s">
        <v>13573</v>
      </c>
      <c r="K872" t="s">
        <v>74</v>
      </c>
      <c r="L872" t="s">
        <v>74</v>
      </c>
      <c r="M872" t="s">
        <v>78</v>
      </c>
      <c r="N872" t="s">
        <v>79</v>
      </c>
      <c r="O872" t="s">
        <v>74</v>
      </c>
      <c r="P872" t="s">
        <v>74</v>
      </c>
      <c r="Q872" t="s">
        <v>74</v>
      </c>
      <c r="R872" t="s">
        <v>74</v>
      </c>
      <c r="S872" t="s">
        <v>74</v>
      </c>
      <c r="T872" t="s">
        <v>13574</v>
      </c>
      <c r="U872" t="s">
        <v>13575</v>
      </c>
      <c r="V872" t="s">
        <v>13576</v>
      </c>
      <c r="W872" t="s">
        <v>13577</v>
      </c>
      <c r="X872" t="s">
        <v>13578</v>
      </c>
      <c r="Y872" t="s">
        <v>13579</v>
      </c>
      <c r="Z872" t="s">
        <v>13580</v>
      </c>
      <c r="AA872" t="s">
        <v>13581</v>
      </c>
      <c r="AB872" t="s">
        <v>13582</v>
      </c>
      <c r="AC872" t="s">
        <v>3171</v>
      </c>
      <c r="AD872" t="s">
        <v>3172</v>
      </c>
      <c r="AE872" t="s">
        <v>74</v>
      </c>
      <c r="AF872" t="s">
        <v>74</v>
      </c>
      <c r="AG872">
        <v>62</v>
      </c>
      <c r="AH872">
        <v>14</v>
      </c>
      <c r="AI872">
        <v>14</v>
      </c>
      <c r="AJ872">
        <v>0</v>
      </c>
      <c r="AK872">
        <v>8</v>
      </c>
      <c r="AL872" t="s">
        <v>272</v>
      </c>
      <c r="AM872" t="s">
        <v>273</v>
      </c>
      <c r="AN872" t="s">
        <v>274</v>
      </c>
      <c r="AO872" t="s">
        <v>13583</v>
      </c>
      <c r="AP872" t="s">
        <v>13584</v>
      </c>
      <c r="AQ872" t="s">
        <v>74</v>
      </c>
      <c r="AR872" t="s">
        <v>13573</v>
      </c>
      <c r="AS872" t="s">
        <v>13585</v>
      </c>
      <c r="AT872" t="s">
        <v>13532</v>
      </c>
      <c r="AU872">
        <v>2007</v>
      </c>
      <c r="AV872">
        <v>429</v>
      </c>
      <c r="AW872" t="s">
        <v>686</v>
      </c>
      <c r="AX872" t="s">
        <v>74</v>
      </c>
      <c r="AY872" t="s">
        <v>74</v>
      </c>
      <c r="AZ872" t="s">
        <v>74</v>
      </c>
      <c r="BA872" t="s">
        <v>74</v>
      </c>
      <c r="BB872">
        <v>183</v>
      </c>
      <c r="BC872">
        <v>200</v>
      </c>
      <c r="BD872" t="s">
        <v>74</v>
      </c>
      <c r="BE872" t="s">
        <v>13586</v>
      </c>
      <c r="BF872" t="str">
        <f>HYPERLINK("http://dx.doi.org/10.1016/j.tecto.2006.09.016","http://dx.doi.org/10.1016/j.tecto.2006.09.016")</f>
        <v>http://dx.doi.org/10.1016/j.tecto.2006.09.016</v>
      </c>
      <c r="BG872" t="s">
        <v>74</v>
      </c>
      <c r="BH872" t="s">
        <v>74</v>
      </c>
      <c r="BI872">
        <v>18</v>
      </c>
      <c r="BJ872" t="s">
        <v>688</v>
      </c>
      <c r="BK872" t="s">
        <v>98</v>
      </c>
      <c r="BL872" t="s">
        <v>688</v>
      </c>
      <c r="BM872" t="s">
        <v>13587</v>
      </c>
      <c r="BN872" t="s">
        <v>74</v>
      </c>
      <c r="BO872" t="s">
        <v>74</v>
      </c>
      <c r="BP872" t="s">
        <v>74</v>
      </c>
      <c r="BQ872" t="s">
        <v>74</v>
      </c>
      <c r="BR872" t="s">
        <v>101</v>
      </c>
      <c r="BS872" t="s">
        <v>13588</v>
      </c>
      <c r="BT872" t="str">
        <f>HYPERLINK("https%3A%2F%2Fwww.webofscience.com%2Fwos%2Fwoscc%2Ffull-record%2FWOS:000243869200002","View Full Record in Web of Science")</f>
        <v>View Full Record in Web of Science</v>
      </c>
    </row>
    <row r="873" spans="1:72" x14ac:dyDescent="0.15">
      <c r="A873" t="s">
        <v>72</v>
      </c>
      <c r="B873" t="s">
        <v>13589</v>
      </c>
      <c r="C873" t="s">
        <v>74</v>
      </c>
      <c r="D873" t="s">
        <v>74</v>
      </c>
      <c r="E873" t="s">
        <v>74</v>
      </c>
      <c r="F873" t="s">
        <v>13590</v>
      </c>
      <c r="G873" t="s">
        <v>74</v>
      </c>
      <c r="H873" t="s">
        <v>74</v>
      </c>
      <c r="I873" t="s">
        <v>13591</v>
      </c>
      <c r="J873" t="s">
        <v>492</v>
      </c>
      <c r="K873" t="s">
        <v>74</v>
      </c>
      <c r="L873" t="s">
        <v>74</v>
      </c>
      <c r="M873" t="s">
        <v>78</v>
      </c>
      <c r="N873" t="s">
        <v>79</v>
      </c>
      <c r="O873" t="s">
        <v>74</v>
      </c>
      <c r="P873" t="s">
        <v>74</v>
      </c>
      <c r="Q873" t="s">
        <v>74</v>
      </c>
      <c r="R873" t="s">
        <v>74</v>
      </c>
      <c r="S873" t="s">
        <v>74</v>
      </c>
      <c r="T873" t="s">
        <v>13592</v>
      </c>
      <c r="U873" t="s">
        <v>13593</v>
      </c>
      <c r="V873" t="s">
        <v>13594</v>
      </c>
      <c r="W873" t="s">
        <v>13595</v>
      </c>
      <c r="X873" t="s">
        <v>13596</v>
      </c>
      <c r="Y873" t="s">
        <v>13597</v>
      </c>
      <c r="Z873" t="s">
        <v>13598</v>
      </c>
      <c r="AA873" t="s">
        <v>74</v>
      </c>
      <c r="AB873" t="s">
        <v>74</v>
      </c>
      <c r="AC873" t="s">
        <v>74</v>
      </c>
      <c r="AD873" t="s">
        <v>74</v>
      </c>
      <c r="AE873" t="s">
        <v>74</v>
      </c>
      <c r="AF873" t="s">
        <v>74</v>
      </c>
      <c r="AG873">
        <v>11</v>
      </c>
      <c r="AH873">
        <v>6</v>
      </c>
      <c r="AI873">
        <v>6</v>
      </c>
      <c r="AJ873">
        <v>0</v>
      </c>
      <c r="AK873">
        <v>1</v>
      </c>
      <c r="AL873" t="s">
        <v>500</v>
      </c>
      <c r="AM873" t="s">
        <v>501</v>
      </c>
      <c r="AN873" t="s">
        <v>502</v>
      </c>
      <c r="AO873" t="s">
        <v>503</v>
      </c>
      <c r="AP873" t="s">
        <v>504</v>
      </c>
      <c r="AQ873" t="s">
        <v>74</v>
      </c>
      <c r="AR873" t="s">
        <v>492</v>
      </c>
      <c r="AS873" t="s">
        <v>505</v>
      </c>
      <c r="AT873" t="s">
        <v>13532</v>
      </c>
      <c r="AU873">
        <v>2007</v>
      </c>
      <c r="AV873" t="s">
        <v>74</v>
      </c>
      <c r="AW873">
        <v>1391</v>
      </c>
      <c r="AX873" t="s">
        <v>74</v>
      </c>
      <c r="AY873" t="s">
        <v>74</v>
      </c>
      <c r="AZ873" t="s">
        <v>74</v>
      </c>
      <c r="BA873" t="s">
        <v>74</v>
      </c>
      <c r="BB873">
        <v>35</v>
      </c>
      <c r="BC873">
        <v>45</v>
      </c>
      <c r="BD873" t="s">
        <v>74</v>
      </c>
      <c r="BE873" t="s">
        <v>74</v>
      </c>
      <c r="BF873" t="s">
        <v>74</v>
      </c>
      <c r="BG873" t="s">
        <v>74</v>
      </c>
      <c r="BH873" t="s">
        <v>74</v>
      </c>
      <c r="BI873">
        <v>11</v>
      </c>
      <c r="BJ873" t="s">
        <v>507</v>
      </c>
      <c r="BK873" t="s">
        <v>98</v>
      </c>
      <c r="BL873" t="s">
        <v>507</v>
      </c>
      <c r="BM873" t="s">
        <v>13599</v>
      </c>
      <c r="BN873" t="s">
        <v>74</v>
      </c>
      <c r="BO873" t="s">
        <v>74</v>
      </c>
      <c r="BP873" t="s">
        <v>74</v>
      </c>
      <c r="BQ873" t="s">
        <v>74</v>
      </c>
      <c r="BR873" t="s">
        <v>101</v>
      </c>
      <c r="BS873" t="s">
        <v>13600</v>
      </c>
      <c r="BT873" t="str">
        <f>HYPERLINK("https%3A%2F%2Fwww.webofscience.com%2Fwos%2Fwoscc%2Ffull-record%2FWOS:000243433400002","View Full Record in Web of Science")</f>
        <v>View Full Record in Web of Science</v>
      </c>
    </row>
    <row r="874" spans="1:72" x14ac:dyDescent="0.15">
      <c r="A874" t="s">
        <v>72</v>
      </c>
      <c r="B874" t="s">
        <v>13601</v>
      </c>
      <c r="C874" t="s">
        <v>74</v>
      </c>
      <c r="D874" t="s">
        <v>74</v>
      </c>
      <c r="E874" t="s">
        <v>74</v>
      </c>
      <c r="F874" t="s">
        <v>13602</v>
      </c>
      <c r="G874" t="s">
        <v>74</v>
      </c>
      <c r="H874" t="s">
        <v>74</v>
      </c>
      <c r="I874" t="s">
        <v>13603</v>
      </c>
      <c r="J874" t="s">
        <v>11335</v>
      </c>
      <c r="K874" t="s">
        <v>74</v>
      </c>
      <c r="L874" t="s">
        <v>74</v>
      </c>
      <c r="M874" t="s">
        <v>78</v>
      </c>
      <c r="N874" t="s">
        <v>79</v>
      </c>
      <c r="O874" t="s">
        <v>74</v>
      </c>
      <c r="P874" t="s">
        <v>74</v>
      </c>
      <c r="Q874" t="s">
        <v>74</v>
      </c>
      <c r="R874" t="s">
        <v>74</v>
      </c>
      <c r="S874" t="s">
        <v>74</v>
      </c>
      <c r="T874" t="s">
        <v>13604</v>
      </c>
      <c r="U874" t="s">
        <v>13605</v>
      </c>
      <c r="V874" t="s">
        <v>13606</v>
      </c>
      <c r="W874" t="s">
        <v>13607</v>
      </c>
      <c r="X874" t="s">
        <v>11797</v>
      </c>
      <c r="Y874" t="s">
        <v>13608</v>
      </c>
      <c r="Z874" t="s">
        <v>13609</v>
      </c>
      <c r="AA874" t="s">
        <v>74</v>
      </c>
      <c r="AB874" t="s">
        <v>13610</v>
      </c>
      <c r="AC874" t="s">
        <v>74</v>
      </c>
      <c r="AD874" t="s">
        <v>74</v>
      </c>
      <c r="AE874" t="s">
        <v>74</v>
      </c>
      <c r="AF874" t="s">
        <v>74</v>
      </c>
      <c r="AG874">
        <v>100</v>
      </c>
      <c r="AH874">
        <v>55</v>
      </c>
      <c r="AI874">
        <v>65</v>
      </c>
      <c r="AJ874">
        <v>1</v>
      </c>
      <c r="AK874">
        <v>16</v>
      </c>
      <c r="AL874" t="s">
        <v>272</v>
      </c>
      <c r="AM874" t="s">
        <v>273</v>
      </c>
      <c r="AN874" t="s">
        <v>274</v>
      </c>
      <c r="AO874" t="s">
        <v>11344</v>
      </c>
      <c r="AP874" t="s">
        <v>11345</v>
      </c>
      <c r="AQ874" t="s">
        <v>74</v>
      </c>
      <c r="AR874" t="s">
        <v>11346</v>
      </c>
      <c r="AS874" t="s">
        <v>11347</v>
      </c>
      <c r="AT874" t="s">
        <v>13611</v>
      </c>
      <c r="AU874">
        <v>2007</v>
      </c>
      <c r="AV874">
        <v>62</v>
      </c>
      <c r="AW874">
        <v>1</v>
      </c>
      <c r="AX874" t="s">
        <v>74</v>
      </c>
      <c r="AY874" t="s">
        <v>74</v>
      </c>
      <c r="AZ874" t="s">
        <v>74</v>
      </c>
      <c r="BA874" t="s">
        <v>74</v>
      </c>
      <c r="BB874">
        <v>7</v>
      </c>
      <c r="BC874">
        <v>30</v>
      </c>
      <c r="BD874" t="s">
        <v>74</v>
      </c>
      <c r="BE874" t="s">
        <v>13612</v>
      </c>
      <c r="BF874" t="str">
        <f>HYPERLINK("http://dx.doi.org/10.1016/j.marmicro.2006.07.002","http://dx.doi.org/10.1016/j.marmicro.2006.07.002")</f>
        <v>http://dx.doi.org/10.1016/j.marmicro.2006.07.002</v>
      </c>
      <c r="BG874" t="s">
        <v>74</v>
      </c>
      <c r="BH874" t="s">
        <v>74</v>
      </c>
      <c r="BI874">
        <v>24</v>
      </c>
      <c r="BJ874" t="s">
        <v>7462</v>
      </c>
      <c r="BK874" t="s">
        <v>98</v>
      </c>
      <c r="BL874" t="s">
        <v>7462</v>
      </c>
      <c r="BM874" t="s">
        <v>13613</v>
      </c>
      <c r="BN874" t="s">
        <v>74</v>
      </c>
      <c r="BO874" t="s">
        <v>74</v>
      </c>
      <c r="BP874" t="s">
        <v>74</v>
      </c>
      <c r="BQ874" t="s">
        <v>74</v>
      </c>
      <c r="BR874" t="s">
        <v>101</v>
      </c>
      <c r="BS874" t="s">
        <v>13614</v>
      </c>
      <c r="BT874" t="str">
        <f>HYPERLINK("https%3A%2F%2Fwww.webofscience.com%2Fwos%2Fwoscc%2Ffull-record%2FWOS:000243913000002","View Full Record in Web of Science")</f>
        <v>View Full Record in Web of Science</v>
      </c>
    </row>
    <row r="875" spans="1:72" x14ac:dyDescent="0.15">
      <c r="A875" t="s">
        <v>72</v>
      </c>
      <c r="B875" t="s">
        <v>13615</v>
      </c>
      <c r="C875" t="s">
        <v>74</v>
      </c>
      <c r="D875" t="s">
        <v>74</v>
      </c>
      <c r="E875" t="s">
        <v>74</v>
      </c>
      <c r="F875" t="s">
        <v>13616</v>
      </c>
      <c r="G875" t="s">
        <v>74</v>
      </c>
      <c r="H875" t="s">
        <v>74</v>
      </c>
      <c r="I875" t="s">
        <v>13617</v>
      </c>
      <c r="J875" t="s">
        <v>1133</v>
      </c>
      <c r="K875" t="s">
        <v>74</v>
      </c>
      <c r="L875" t="s">
        <v>74</v>
      </c>
      <c r="M875" t="s">
        <v>78</v>
      </c>
      <c r="N875" t="s">
        <v>79</v>
      </c>
      <c r="O875" t="s">
        <v>74</v>
      </c>
      <c r="P875" t="s">
        <v>74</v>
      </c>
      <c r="Q875" t="s">
        <v>74</v>
      </c>
      <c r="R875" t="s">
        <v>74</v>
      </c>
      <c r="S875" t="s">
        <v>74</v>
      </c>
      <c r="T875" t="s">
        <v>13618</v>
      </c>
      <c r="U875" t="s">
        <v>13619</v>
      </c>
      <c r="V875" t="s">
        <v>13620</v>
      </c>
      <c r="W875" t="s">
        <v>13621</v>
      </c>
      <c r="X875" t="s">
        <v>13622</v>
      </c>
      <c r="Y875" t="s">
        <v>13623</v>
      </c>
      <c r="Z875" t="s">
        <v>13624</v>
      </c>
      <c r="AA875" t="s">
        <v>13625</v>
      </c>
      <c r="AB875" t="s">
        <v>13626</v>
      </c>
      <c r="AC875" t="s">
        <v>74</v>
      </c>
      <c r="AD875" t="s">
        <v>74</v>
      </c>
      <c r="AE875" t="s">
        <v>74</v>
      </c>
      <c r="AF875" t="s">
        <v>74</v>
      </c>
      <c r="AG875">
        <v>55</v>
      </c>
      <c r="AH875">
        <v>50</v>
      </c>
      <c r="AI875">
        <v>74</v>
      </c>
      <c r="AJ875">
        <v>1</v>
      </c>
      <c r="AK875">
        <v>19</v>
      </c>
      <c r="AL875" t="s">
        <v>272</v>
      </c>
      <c r="AM875" t="s">
        <v>273</v>
      </c>
      <c r="AN875" t="s">
        <v>274</v>
      </c>
      <c r="AO875" t="s">
        <v>1144</v>
      </c>
      <c r="AP875" t="s">
        <v>1164</v>
      </c>
      <c r="AQ875" t="s">
        <v>74</v>
      </c>
      <c r="AR875" t="s">
        <v>1145</v>
      </c>
      <c r="AS875" t="s">
        <v>1146</v>
      </c>
      <c r="AT875" t="s">
        <v>13611</v>
      </c>
      <c r="AU875">
        <v>2007</v>
      </c>
      <c r="AV875">
        <v>243</v>
      </c>
      <c r="AW875" t="s">
        <v>280</v>
      </c>
      <c r="AX875" t="s">
        <v>74</v>
      </c>
      <c r="AY875" t="s">
        <v>74</v>
      </c>
      <c r="AZ875" t="s">
        <v>74</v>
      </c>
      <c r="BA875" t="s">
        <v>74</v>
      </c>
      <c r="BB875">
        <v>223</v>
      </c>
      <c r="BC875">
        <v>234</v>
      </c>
      <c r="BD875" t="s">
        <v>74</v>
      </c>
      <c r="BE875" t="s">
        <v>13627</v>
      </c>
      <c r="BF875" t="str">
        <f>HYPERLINK("http://dx.doi.org/10.1016/j.palaeo.2006.07.016","http://dx.doi.org/10.1016/j.palaeo.2006.07.016")</f>
        <v>http://dx.doi.org/10.1016/j.palaeo.2006.07.016</v>
      </c>
      <c r="BG875" t="s">
        <v>74</v>
      </c>
      <c r="BH875" t="s">
        <v>74</v>
      </c>
      <c r="BI875">
        <v>12</v>
      </c>
      <c r="BJ875" t="s">
        <v>1148</v>
      </c>
      <c r="BK875" t="s">
        <v>98</v>
      </c>
      <c r="BL875" t="s">
        <v>1149</v>
      </c>
      <c r="BM875" t="s">
        <v>13628</v>
      </c>
      <c r="BN875" t="s">
        <v>74</v>
      </c>
      <c r="BO875" t="s">
        <v>74</v>
      </c>
      <c r="BP875" t="s">
        <v>74</v>
      </c>
      <c r="BQ875" t="s">
        <v>74</v>
      </c>
      <c r="BR875" t="s">
        <v>101</v>
      </c>
      <c r="BS875" t="s">
        <v>13629</v>
      </c>
      <c r="BT875" t="str">
        <f>HYPERLINK("https%3A%2F%2Fwww.webofscience.com%2Fwos%2Fwoscc%2Ffull-record%2FWOS:000243664100013","View Full Record in Web of Science")</f>
        <v>View Full Record in Web of Science</v>
      </c>
    </row>
    <row r="876" spans="1:72" x14ac:dyDescent="0.15">
      <c r="A876" t="s">
        <v>72</v>
      </c>
      <c r="B876" t="s">
        <v>13630</v>
      </c>
      <c r="C876" t="s">
        <v>74</v>
      </c>
      <c r="D876" t="s">
        <v>74</v>
      </c>
      <c r="E876" t="s">
        <v>74</v>
      </c>
      <c r="F876" t="s">
        <v>13631</v>
      </c>
      <c r="G876" t="s">
        <v>74</v>
      </c>
      <c r="H876" t="s">
        <v>74</v>
      </c>
      <c r="I876" t="s">
        <v>13632</v>
      </c>
      <c r="J876" t="s">
        <v>470</v>
      </c>
      <c r="K876" t="s">
        <v>74</v>
      </c>
      <c r="L876" t="s">
        <v>74</v>
      </c>
      <c r="M876" t="s">
        <v>78</v>
      </c>
      <c r="N876" t="s">
        <v>79</v>
      </c>
      <c r="O876" t="s">
        <v>74</v>
      </c>
      <c r="P876" t="s">
        <v>74</v>
      </c>
      <c r="Q876" t="s">
        <v>74</v>
      </c>
      <c r="R876" t="s">
        <v>74</v>
      </c>
      <c r="S876" t="s">
        <v>74</v>
      </c>
      <c r="T876" t="s">
        <v>13633</v>
      </c>
      <c r="U876" t="s">
        <v>13634</v>
      </c>
      <c r="V876" t="s">
        <v>13635</v>
      </c>
      <c r="W876" t="s">
        <v>13636</v>
      </c>
      <c r="X876" t="s">
        <v>13637</v>
      </c>
      <c r="Y876" t="s">
        <v>13638</v>
      </c>
      <c r="Z876" t="s">
        <v>13639</v>
      </c>
      <c r="AA876" t="s">
        <v>13640</v>
      </c>
      <c r="AB876" t="s">
        <v>13641</v>
      </c>
      <c r="AC876" t="s">
        <v>74</v>
      </c>
      <c r="AD876" t="s">
        <v>74</v>
      </c>
      <c r="AE876" t="s">
        <v>74</v>
      </c>
      <c r="AF876" t="s">
        <v>74</v>
      </c>
      <c r="AG876">
        <v>15</v>
      </c>
      <c r="AH876">
        <v>42</v>
      </c>
      <c r="AI876">
        <v>49</v>
      </c>
      <c r="AJ876">
        <v>6</v>
      </c>
      <c r="AK876">
        <v>30</v>
      </c>
      <c r="AL876" t="s">
        <v>481</v>
      </c>
      <c r="AM876" t="s">
        <v>142</v>
      </c>
      <c r="AN876" t="s">
        <v>482</v>
      </c>
      <c r="AO876" t="s">
        <v>483</v>
      </c>
      <c r="AP876" t="s">
        <v>74</v>
      </c>
      <c r="AQ876" t="s">
        <v>74</v>
      </c>
      <c r="AR876" t="s">
        <v>484</v>
      </c>
      <c r="AS876" t="s">
        <v>485</v>
      </c>
      <c r="AT876" t="s">
        <v>13642</v>
      </c>
      <c r="AU876">
        <v>2007</v>
      </c>
      <c r="AV876">
        <v>104</v>
      </c>
      <c r="AW876">
        <v>2</v>
      </c>
      <c r="AX876" t="s">
        <v>74</v>
      </c>
      <c r="AY876" t="s">
        <v>74</v>
      </c>
      <c r="AZ876" t="s">
        <v>74</v>
      </c>
      <c r="BA876" t="s">
        <v>74</v>
      </c>
      <c r="BB876">
        <v>445</v>
      </c>
      <c r="BC876">
        <v>449</v>
      </c>
      <c r="BD876" t="s">
        <v>74</v>
      </c>
      <c r="BE876" t="s">
        <v>13643</v>
      </c>
      <c r="BF876" t="str">
        <f>HYPERLINK("http://dx.doi.org/10.1073/pnas.0604895104","http://dx.doi.org/10.1073/pnas.0604895104")</f>
        <v>http://dx.doi.org/10.1073/pnas.0604895104</v>
      </c>
      <c r="BG876" t="s">
        <v>74</v>
      </c>
      <c r="BH876" t="s">
        <v>74</v>
      </c>
      <c r="BI876">
        <v>5</v>
      </c>
      <c r="BJ876" t="s">
        <v>241</v>
      </c>
      <c r="BK876" t="s">
        <v>98</v>
      </c>
      <c r="BL876" t="s">
        <v>242</v>
      </c>
      <c r="BM876" t="s">
        <v>13644</v>
      </c>
      <c r="BN876">
        <v>17202269</v>
      </c>
      <c r="BO876" t="s">
        <v>198</v>
      </c>
      <c r="BP876" t="s">
        <v>74</v>
      </c>
      <c r="BQ876" t="s">
        <v>74</v>
      </c>
      <c r="BR876" t="s">
        <v>101</v>
      </c>
      <c r="BS876" t="s">
        <v>13645</v>
      </c>
      <c r="BT876" t="str">
        <f>HYPERLINK("https%3A%2F%2Fwww.webofscience.com%2Fwos%2Fwoscc%2Ffull-record%2FWOS:000243445400010","View Full Record in Web of Science")</f>
        <v>View Full Record in Web of Science</v>
      </c>
    </row>
    <row r="877" spans="1:72" x14ac:dyDescent="0.15">
      <c r="A877" t="s">
        <v>72</v>
      </c>
      <c r="B877" t="s">
        <v>13646</v>
      </c>
      <c r="C877" t="s">
        <v>74</v>
      </c>
      <c r="D877" t="s">
        <v>74</v>
      </c>
      <c r="E877" t="s">
        <v>74</v>
      </c>
      <c r="F877" t="s">
        <v>13647</v>
      </c>
      <c r="G877" t="s">
        <v>74</v>
      </c>
      <c r="H877" t="s">
        <v>74</v>
      </c>
      <c r="I877" t="s">
        <v>13648</v>
      </c>
      <c r="J877" t="s">
        <v>470</v>
      </c>
      <c r="K877" t="s">
        <v>74</v>
      </c>
      <c r="L877" t="s">
        <v>74</v>
      </c>
      <c r="M877" t="s">
        <v>78</v>
      </c>
      <c r="N877" t="s">
        <v>79</v>
      </c>
      <c r="O877" t="s">
        <v>74</v>
      </c>
      <c r="P877" t="s">
        <v>74</v>
      </c>
      <c r="Q877" t="s">
        <v>74</v>
      </c>
      <c r="R877" t="s">
        <v>74</v>
      </c>
      <c r="S877" t="s">
        <v>74</v>
      </c>
      <c r="T877" t="s">
        <v>13649</v>
      </c>
      <c r="U877" t="s">
        <v>13650</v>
      </c>
      <c r="V877" t="s">
        <v>13651</v>
      </c>
      <c r="W877" t="s">
        <v>13652</v>
      </c>
      <c r="X877" t="s">
        <v>13653</v>
      </c>
      <c r="Y877" t="s">
        <v>13654</v>
      </c>
      <c r="Z877" t="s">
        <v>13655</v>
      </c>
      <c r="AA877" t="s">
        <v>13656</v>
      </c>
      <c r="AB877" t="s">
        <v>13657</v>
      </c>
      <c r="AC877" t="s">
        <v>13658</v>
      </c>
      <c r="AD877" t="s">
        <v>426</v>
      </c>
      <c r="AE877" t="s">
        <v>74</v>
      </c>
      <c r="AF877" t="s">
        <v>74</v>
      </c>
      <c r="AG877">
        <v>43</v>
      </c>
      <c r="AH877">
        <v>200</v>
      </c>
      <c r="AI877">
        <v>205</v>
      </c>
      <c r="AJ877">
        <v>0</v>
      </c>
      <c r="AK877">
        <v>29</v>
      </c>
      <c r="AL877" t="s">
        <v>481</v>
      </c>
      <c r="AM877" t="s">
        <v>142</v>
      </c>
      <c r="AN877" t="s">
        <v>482</v>
      </c>
      <c r="AO877" t="s">
        <v>483</v>
      </c>
      <c r="AP877" t="s">
        <v>74</v>
      </c>
      <c r="AQ877" t="s">
        <v>74</v>
      </c>
      <c r="AR877" t="s">
        <v>484</v>
      </c>
      <c r="AS877" t="s">
        <v>485</v>
      </c>
      <c r="AT877" t="s">
        <v>13642</v>
      </c>
      <c r="AU877">
        <v>2007</v>
      </c>
      <c r="AV877">
        <v>104</v>
      </c>
      <c r="AW877">
        <v>2</v>
      </c>
      <c r="AX877" t="s">
        <v>74</v>
      </c>
      <c r="AY877" t="s">
        <v>74</v>
      </c>
      <c r="AZ877" t="s">
        <v>74</v>
      </c>
      <c r="BA877" t="s">
        <v>74</v>
      </c>
      <c r="BB877">
        <v>450</v>
      </c>
      <c r="BC877">
        <v>455</v>
      </c>
      <c r="BD877" t="s">
        <v>74</v>
      </c>
      <c r="BE877" t="s">
        <v>13659</v>
      </c>
      <c r="BF877" t="str">
        <f>HYPERLINK("http://dx.doi.org/10.1073/pnas.0603321104","http://dx.doi.org/10.1073/pnas.0603321104")</f>
        <v>http://dx.doi.org/10.1073/pnas.0603321104</v>
      </c>
      <c r="BG877" t="s">
        <v>74</v>
      </c>
      <c r="BH877" t="s">
        <v>74</v>
      </c>
      <c r="BI877">
        <v>6</v>
      </c>
      <c r="BJ877" t="s">
        <v>241</v>
      </c>
      <c r="BK877" t="s">
        <v>98</v>
      </c>
      <c r="BL877" t="s">
        <v>242</v>
      </c>
      <c r="BM877" t="s">
        <v>13644</v>
      </c>
      <c r="BN877">
        <v>17202271</v>
      </c>
      <c r="BO877" t="s">
        <v>198</v>
      </c>
      <c r="BP877" t="s">
        <v>74</v>
      </c>
      <c r="BQ877" t="s">
        <v>74</v>
      </c>
      <c r="BR877" t="s">
        <v>101</v>
      </c>
      <c r="BS877" t="s">
        <v>13660</v>
      </c>
      <c r="BT877" t="str">
        <f>HYPERLINK("https%3A%2F%2Fwww.webofscience.com%2Fwos%2Fwoscc%2Ffull-record%2FWOS:000243445400011","View Full Record in Web of Science")</f>
        <v>View Full Record in Web of Science</v>
      </c>
    </row>
    <row r="878" spans="1:72" x14ac:dyDescent="0.15">
      <c r="A878" t="s">
        <v>72</v>
      </c>
      <c r="B878" t="s">
        <v>13661</v>
      </c>
      <c r="C878" t="s">
        <v>74</v>
      </c>
      <c r="D878" t="s">
        <v>74</v>
      </c>
      <c r="E878" t="s">
        <v>74</v>
      </c>
      <c r="F878" t="s">
        <v>13662</v>
      </c>
      <c r="G878" t="s">
        <v>74</v>
      </c>
      <c r="H878" t="s">
        <v>74</v>
      </c>
      <c r="I878" t="s">
        <v>13663</v>
      </c>
      <c r="J878" t="s">
        <v>13664</v>
      </c>
      <c r="K878" t="s">
        <v>74</v>
      </c>
      <c r="L878" t="s">
        <v>74</v>
      </c>
      <c r="M878" t="s">
        <v>78</v>
      </c>
      <c r="N878" t="s">
        <v>79</v>
      </c>
      <c r="O878" t="s">
        <v>74</v>
      </c>
      <c r="P878" t="s">
        <v>74</v>
      </c>
      <c r="Q878" t="s">
        <v>74</v>
      </c>
      <c r="R878" t="s">
        <v>74</v>
      </c>
      <c r="S878" t="s">
        <v>74</v>
      </c>
      <c r="T878" t="s">
        <v>13665</v>
      </c>
      <c r="U878" t="s">
        <v>13666</v>
      </c>
      <c r="V878" t="s">
        <v>13667</v>
      </c>
      <c r="W878" t="s">
        <v>13668</v>
      </c>
      <c r="X878" t="s">
        <v>13669</v>
      </c>
      <c r="Y878" t="s">
        <v>13670</v>
      </c>
      <c r="Z878" t="s">
        <v>13671</v>
      </c>
      <c r="AA878" t="s">
        <v>74</v>
      </c>
      <c r="AB878" t="s">
        <v>74</v>
      </c>
      <c r="AC878" t="s">
        <v>74</v>
      </c>
      <c r="AD878" t="s">
        <v>74</v>
      </c>
      <c r="AE878" t="s">
        <v>74</v>
      </c>
      <c r="AF878" t="s">
        <v>74</v>
      </c>
      <c r="AG878">
        <v>22</v>
      </c>
      <c r="AH878">
        <v>20</v>
      </c>
      <c r="AI878">
        <v>22</v>
      </c>
      <c r="AJ878">
        <v>0</v>
      </c>
      <c r="AK878">
        <v>1</v>
      </c>
      <c r="AL878" t="s">
        <v>4401</v>
      </c>
      <c r="AM878" t="s">
        <v>363</v>
      </c>
      <c r="AN878" t="s">
        <v>387</v>
      </c>
      <c r="AO878" t="s">
        <v>13672</v>
      </c>
      <c r="AP878" t="s">
        <v>74</v>
      </c>
      <c r="AQ878" t="s">
        <v>74</v>
      </c>
      <c r="AR878" t="s">
        <v>13673</v>
      </c>
      <c r="AS878" t="s">
        <v>13674</v>
      </c>
      <c r="AT878" t="s">
        <v>13675</v>
      </c>
      <c r="AU878">
        <v>2007</v>
      </c>
      <c r="AV878">
        <v>463</v>
      </c>
      <c r="AW878">
        <v>2077</v>
      </c>
      <c r="AX878" t="s">
        <v>74</v>
      </c>
      <c r="AY878" t="s">
        <v>74</v>
      </c>
      <c r="AZ878" t="s">
        <v>74</v>
      </c>
      <c r="BA878" t="s">
        <v>74</v>
      </c>
      <c r="BB878">
        <v>241</v>
      </c>
      <c r="BC878">
        <v>259</v>
      </c>
      <c r="BD878" t="s">
        <v>74</v>
      </c>
      <c r="BE878" t="s">
        <v>13676</v>
      </c>
      <c r="BF878" t="str">
        <f>HYPERLINK("http://dx.doi.org/10.1098/rspa.2006.1766","http://dx.doi.org/10.1098/rspa.2006.1766")</f>
        <v>http://dx.doi.org/10.1098/rspa.2006.1766</v>
      </c>
      <c r="BG878" t="s">
        <v>74</v>
      </c>
      <c r="BH878" t="s">
        <v>74</v>
      </c>
      <c r="BI878">
        <v>19</v>
      </c>
      <c r="BJ878" t="s">
        <v>241</v>
      </c>
      <c r="BK878" t="s">
        <v>98</v>
      </c>
      <c r="BL878" t="s">
        <v>242</v>
      </c>
      <c r="BM878" t="s">
        <v>13677</v>
      </c>
      <c r="BN878" t="s">
        <v>74</v>
      </c>
      <c r="BO878" t="s">
        <v>1249</v>
      </c>
      <c r="BP878" t="s">
        <v>74</v>
      </c>
      <c r="BQ878" t="s">
        <v>74</v>
      </c>
      <c r="BR878" t="s">
        <v>101</v>
      </c>
      <c r="BS878" t="s">
        <v>13678</v>
      </c>
      <c r="BT878" t="str">
        <f>HYPERLINK("https%3A%2F%2Fwww.webofscience.com%2Fwos%2Fwoscc%2Ffull-record%2FWOS:000242771500012","View Full Record in Web of Science")</f>
        <v>View Full Record in Web of Science</v>
      </c>
    </row>
    <row r="879" spans="1:72" x14ac:dyDescent="0.15">
      <c r="A879" t="s">
        <v>72</v>
      </c>
      <c r="B879" t="s">
        <v>13679</v>
      </c>
      <c r="C879" t="s">
        <v>74</v>
      </c>
      <c r="D879" t="s">
        <v>74</v>
      </c>
      <c r="E879" t="s">
        <v>74</v>
      </c>
      <c r="F879" t="s">
        <v>13680</v>
      </c>
      <c r="G879" t="s">
        <v>74</v>
      </c>
      <c r="H879" t="s">
        <v>74</v>
      </c>
      <c r="I879" t="s">
        <v>13681</v>
      </c>
      <c r="J879" t="s">
        <v>13258</v>
      </c>
      <c r="K879" t="s">
        <v>74</v>
      </c>
      <c r="L879" t="s">
        <v>74</v>
      </c>
      <c r="M879" t="s">
        <v>78</v>
      </c>
      <c r="N879" t="s">
        <v>248</v>
      </c>
      <c r="O879" t="s">
        <v>74</v>
      </c>
      <c r="P879" t="s">
        <v>74</v>
      </c>
      <c r="Q879" t="s">
        <v>74</v>
      </c>
      <c r="R879" t="s">
        <v>74</v>
      </c>
      <c r="S879" t="s">
        <v>74</v>
      </c>
      <c r="T879" t="s">
        <v>74</v>
      </c>
      <c r="U879" t="s">
        <v>13682</v>
      </c>
      <c r="V879" t="s">
        <v>13683</v>
      </c>
      <c r="W879" t="s">
        <v>13684</v>
      </c>
      <c r="X879" t="s">
        <v>13685</v>
      </c>
      <c r="Y879" t="s">
        <v>13686</v>
      </c>
      <c r="Z879" t="s">
        <v>13687</v>
      </c>
      <c r="AA879" t="s">
        <v>13688</v>
      </c>
      <c r="AB879" t="s">
        <v>74</v>
      </c>
      <c r="AC879" t="s">
        <v>74</v>
      </c>
      <c r="AD879" t="s">
        <v>74</v>
      </c>
      <c r="AE879" t="s">
        <v>74</v>
      </c>
      <c r="AF879" t="s">
        <v>74</v>
      </c>
      <c r="AG879">
        <v>104</v>
      </c>
      <c r="AH879">
        <v>7</v>
      </c>
      <c r="AI879">
        <v>8</v>
      </c>
      <c r="AJ879">
        <v>0</v>
      </c>
      <c r="AK879">
        <v>22</v>
      </c>
      <c r="AL879" t="s">
        <v>13266</v>
      </c>
      <c r="AM879" t="s">
        <v>13267</v>
      </c>
      <c r="AN879" t="s">
        <v>13268</v>
      </c>
      <c r="AO879" t="s">
        <v>13269</v>
      </c>
      <c r="AP879" t="s">
        <v>74</v>
      </c>
      <c r="AQ879" t="s">
        <v>74</v>
      </c>
      <c r="AR879" t="s">
        <v>13270</v>
      </c>
      <c r="AS879" t="s">
        <v>13271</v>
      </c>
      <c r="AT879" t="s">
        <v>13689</v>
      </c>
      <c r="AU879">
        <v>2007</v>
      </c>
      <c r="AV879">
        <v>7</v>
      </c>
      <c r="AW879" t="s">
        <v>74</v>
      </c>
      <c r="AX879" t="s">
        <v>74</v>
      </c>
      <c r="AY879" t="s">
        <v>74</v>
      </c>
      <c r="AZ879" t="s">
        <v>74</v>
      </c>
      <c r="BA879" t="s">
        <v>74</v>
      </c>
      <c r="BB879" t="s">
        <v>74</v>
      </c>
      <c r="BC879" t="s">
        <v>74</v>
      </c>
      <c r="BD879" t="s">
        <v>74</v>
      </c>
      <c r="BE879" t="s">
        <v>74</v>
      </c>
      <c r="BF879" t="s">
        <v>74</v>
      </c>
      <c r="BG879" t="s">
        <v>74</v>
      </c>
      <c r="BH879" t="s">
        <v>74</v>
      </c>
      <c r="BI879">
        <v>16</v>
      </c>
      <c r="BJ879" t="s">
        <v>1511</v>
      </c>
      <c r="BK879" t="s">
        <v>98</v>
      </c>
      <c r="BL879" t="s">
        <v>1512</v>
      </c>
      <c r="BM879" t="s">
        <v>13690</v>
      </c>
      <c r="BN879" t="s">
        <v>74</v>
      </c>
      <c r="BO879" t="s">
        <v>74</v>
      </c>
      <c r="BP879" t="s">
        <v>74</v>
      </c>
      <c r="BQ879" t="s">
        <v>74</v>
      </c>
      <c r="BR879" t="s">
        <v>101</v>
      </c>
      <c r="BS879" t="s">
        <v>13691</v>
      </c>
      <c r="BT879" t="str">
        <f>HYPERLINK("https%3A%2F%2Fwww.webofscience.com%2Fwos%2Fwoscc%2Ffull-record%2FWOS:000243333700001","View Full Record in Web of Science")</f>
        <v>View Full Record in Web of Science</v>
      </c>
    </row>
    <row r="880" spans="1:72" x14ac:dyDescent="0.15">
      <c r="A880" t="s">
        <v>72</v>
      </c>
      <c r="B880" t="s">
        <v>13692</v>
      </c>
      <c r="C880" t="s">
        <v>74</v>
      </c>
      <c r="D880" t="s">
        <v>74</v>
      </c>
      <c r="E880" t="s">
        <v>74</v>
      </c>
      <c r="F880" t="s">
        <v>13693</v>
      </c>
      <c r="G880" t="s">
        <v>74</v>
      </c>
      <c r="H880" t="s">
        <v>74</v>
      </c>
      <c r="I880" t="s">
        <v>13694</v>
      </c>
      <c r="J880" t="s">
        <v>4268</v>
      </c>
      <c r="K880" t="s">
        <v>74</v>
      </c>
      <c r="L880" t="s">
        <v>74</v>
      </c>
      <c r="M880" t="s">
        <v>78</v>
      </c>
      <c r="N880" t="s">
        <v>79</v>
      </c>
      <c r="O880" t="s">
        <v>74</v>
      </c>
      <c r="P880" t="s">
        <v>74</v>
      </c>
      <c r="Q880" t="s">
        <v>74</v>
      </c>
      <c r="R880" t="s">
        <v>74</v>
      </c>
      <c r="S880" t="s">
        <v>74</v>
      </c>
      <c r="T880" t="s">
        <v>13695</v>
      </c>
      <c r="U880" t="s">
        <v>13696</v>
      </c>
      <c r="V880" t="s">
        <v>13697</v>
      </c>
      <c r="W880" t="s">
        <v>13698</v>
      </c>
      <c r="X880" t="s">
        <v>13699</v>
      </c>
      <c r="Y880" t="s">
        <v>13700</v>
      </c>
      <c r="Z880" t="s">
        <v>13701</v>
      </c>
      <c r="AA880" t="s">
        <v>13702</v>
      </c>
      <c r="AB880" t="s">
        <v>13703</v>
      </c>
      <c r="AC880" t="s">
        <v>74</v>
      </c>
      <c r="AD880" t="s">
        <v>74</v>
      </c>
      <c r="AE880" t="s">
        <v>74</v>
      </c>
      <c r="AF880" t="s">
        <v>74</v>
      </c>
      <c r="AG880">
        <v>98</v>
      </c>
      <c r="AH880">
        <v>119</v>
      </c>
      <c r="AI880">
        <v>128</v>
      </c>
      <c r="AJ880">
        <v>0</v>
      </c>
      <c r="AK880">
        <v>4</v>
      </c>
      <c r="AL880" t="s">
        <v>272</v>
      </c>
      <c r="AM880" t="s">
        <v>273</v>
      </c>
      <c r="AN880" t="s">
        <v>274</v>
      </c>
      <c r="AO880" t="s">
        <v>4278</v>
      </c>
      <c r="AP880" t="s">
        <v>4279</v>
      </c>
      <c r="AQ880" t="s">
        <v>74</v>
      </c>
      <c r="AR880" t="s">
        <v>4280</v>
      </c>
      <c r="AS880" t="s">
        <v>4281</v>
      </c>
      <c r="AT880" t="s">
        <v>13689</v>
      </c>
      <c r="AU880">
        <v>2007</v>
      </c>
      <c r="AV880">
        <v>152</v>
      </c>
      <c r="AW880" t="s">
        <v>280</v>
      </c>
      <c r="AX880" t="s">
        <v>74</v>
      </c>
      <c r="AY880" t="s">
        <v>74</v>
      </c>
      <c r="AZ880" t="s">
        <v>74</v>
      </c>
      <c r="BA880" t="s">
        <v>74</v>
      </c>
      <c r="BB880">
        <v>1</v>
      </c>
      <c r="BC880">
        <v>26</v>
      </c>
      <c r="BD880" t="s">
        <v>74</v>
      </c>
      <c r="BE880" t="s">
        <v>13704</v>
      </c>
      <c r="BF880" t="str">
        <f>HYPERLINK("http://dx.doi.org/10.1016/j.precamres.2006.08.011","http://dx.doi.org/10.1016/j.precamres.2006.08.011")</f>
        <v>http://dx.doi.org/10.1016/j.precamres.2006.08.011</v>
      </c>
      <c r="BG880" t="s">
        <v>74</v>
      </c>
      <c r="BH880" t="s">
        <v>74</v>
      </c>
      <c r="BI880">
        <v>26</v>
      </c>
      <c r="BJ880" t="s">
        <v>151</v>
      </c>
      <c r="BK880" t="s">
        <v>98</v>
      </c>
      <c r="BL880" t="s">
        <v>152</v>
      </c>
      <c r="BM880" t="s">
        <v>13705</v>
      </c>
      <c r="BN880" t="s">
        <v>74</v>
      </c>
      <c r="BO880" t="s">
        <v>74</v>
      </c>
      <c r="BP880" t="s">
        <v>74</v>
      </c>
      <c r="BQ880" t="s">
        <v>74</v>
      </c>
      <c r="BR880" t="s">
        <v>101</v>
      </c>
      <c r="BS880" t="s">
        <v>13706</v>
      </c>
      <c r="BT880" t="str">
        <f>HYPERLINK("https%3A%2F%2Fwww.webofscience.com%2Fwos%2Fwoscc%2Ffull-record%2FWOS:000244094100001","View Full Record in Web of Science")</f>
        <v>View Full Record in Web of Science</v>
      </c>
    </row>
    <row r="881" spans="1:72" x14ac:dyDescent="0.15">
      <c r="A881" t="s">
        <v>72</v>
      </c>
      <c r="B881" t="s">
        <v>13707</v>
      </c>
      <c r="C881" t="s">
        <v>74</v>
      </c>
      <c r="D881" t="s">
        <v>74</v>
      </c>
      <c r="E881" t="s">
        <v>74</v>
      </c>
      <c r="F881" t="s">
        <v>13708</v>
      </c>
      <c r="G881" t="s">
        <v>74</v>
      </c>
      <c r="H881" t="s">
        <v>74</v>
      </c>
      <c r="I881" t="s">
        <v>13709</v>
      </c>
      <c r="J881" t="s">
        <v>309</v>
      </c>
      <c r="K881" t="s">
        <v>74</v>
      </c>
      <c r="L881" t="s">
        <v>74</v>
      </c>
      <c r="M881" t="s">
        <v>78</v>
      </c>
      <c r="N881" t="s">
        <v>79</v>
      </c>
      <c r="O881" t="s">
        <v>74</v>
      </c>
      <c r="P881" t="s">
        <v>74</v>
      </c>
      <c r="Q881" t="s">
        <v>74</v>
      </c>
      <c r="R881" t="s">
        <v>74</v>
      </c>
      <c r="S881" t="s">
        <v>74</v>
      </c>
      <c r="T881" t="s">
        <v>74</v>
      </c>
      <c r="U881" t="s">
        <v>13710</v>
      </c>
      <c r="V881" t="s">
        <v>13711</v>
      </c>
      <c r="W881" t="s">
        <v>13712</v>
      </c>
      <c r="X881" t="s">
        <v>13713</v>
      </c>
      <c r="Y881" t="s">
        <v>13714</v>
      </c>
      <c r="Z881" t="s">
        <v>13715</v>
      </c>
      <c r="AA881" t="s">
        <v>4536</v>
      </c>
      <c r="AB881" t="s">
        <v>4537</v>
      </c>
      <c r="AC881" t="s">
        <v>74</v>
      </c>
      <c r="AD881" t="s">
        <v>74</v>
      </c>
      <c r="AE881" t="s">
        <v>74</v>
      </c>
      <c r="AF881" t="s">
        <v>74</v>
      </c>
      <c r="AG881">
        <v>24</v>
      </c>
      <c r="AH881">
        <v>123</v>
      </c>
      <c r="AI881">
        <v>137</v>
      </c>
      <c r="AJ881">
        <v>1</v>
      </c>
      <c r="AK881">
        <v>48</v>
      </c>
      <c r="AL881" t="s">
        <v>318</v>
      </c>
      <c r="AM881" t="s">
        <v>142</v>
      </c>
      <c r="AN881" t="s">
        <v>319</v>
      </c>
      <c r="AO881" t="s">
        <v>320</v>
      </c>
      <c r="AP881" t="s">
        <v>628</v>
      </c>
      <c r="AQ881" t="s">
        <v>74</v>
      </c>
      <c r="AR881" t="s">
        <v>309</v>
      </c>
      <c r="AS881" t="s">
        <v>321</v>
      </c>
      <c r="AT881" t="s">
        <v>13689</v>
      </c>
      <c r="AU881">
        <v>2007</v>
      </c>
      <c r="AV881">
        <v>315</v>
      </c>
      <c r="AW881">
        <v>5808</v>
      </c>
      <c r="AX881" t="s">
        <v>74</v>
      </c>
      <c r="AY881" t="s">
        <v>74</v>
      </c>
      <c r="AZ881" t="s">
        <v>74</v>
      </c>
      <c r="BA881" t="s">
        <v>74</v>
      </c>
      <c r="BB881">
        <v>84</v>
      </c>
      <c r="BC881">
        <v>87</v>
      </c>
      <c r="BD881" t="s">
        <v>74</v>
      </c>
      <c r="BE881" t="s">
        <v>13716</v>
      </c>
      <c r="BF881" t="str">
        <f>HYPERLINK("http://dx.doi.org/10.1126/science.1131754","http://dx.doi.org/10.1126/science.1131754")</f>
        <v>http://dx.doi.org/10.1126/science.1131754</v>
      </c>
      <c r="BG881" t="s">
        <v>74</v>
      </c>
      <c r="BH881" t="s">
        <v>74</v>
      </c>
      <c r="BI881">
        <v>4</v>
      </c>
      <c r="BJ881" t="s">
        <v>241</v>
      </c>
      <c r="BK881" t="s">
        <v>98</v>
      </c>
      <c r="BL881" t="s">
        <v>242</v>
      </c>
      <c r="BM881" t="s">
        <v>13717</v>
      </c>
      <c r="BN881">
        <v>17204647</v>
      </c>
      <c r="BO881" t="s">
        <v>74</v>
      </c>
      <c r="BP881" t="s">
        <v>74</v>
      </c>
      <c r="BQ881" t="s">
        <v>74</v>
      </c>
      <c r="BR881" t="s">
        <v>101</v>
      </c>
      <c r="BS881" t="s">
        <v>13718</v>
      </c>
      <c r="BT881" t="str">
        <f>HYPERLINK("https%3A%2F%2Fwww.webofscience.com%2Fwos%2Fwoscc%2Ffull-record%2FWOS:000243259100040","View Full Record in Web of Science")</f>
        <v>View Full Record in Web of Science</v>
      </c>
    </row>
    <row r="882" spans="1:72" x14ac:dyDescent="0.15">
      <c r="A882" t="s">
        <v>72</v>
      </c>
      <c r="B882" t="s">
        <v>13719</v>
      </c>
      <c r="C882" t="s">
        <v>74</v>
      </c>
      <c r="D882" t="s">
        <v>74</v>
      </c>
      <c r="E882" t="s">
        <v>74</v>
      </c>
      <c r="F882" t="s">
        <v>13720</v>
      </c>
      <c r="G882" t="s">
        <v>74</v>
      </c>
      <c r="H882" t="s">
        <v>74</v>
      </c>
      <c r="I882" t="s">
        <v>13721</v>
      </c>
      <c r="J882" t="s">
        <v>13722</v>
      </c>
      <c r="K882" t="s">
        <v>74</v>
      </c>
      <c r="L882" t="s">
        <v>74</v>
      </c>
      <c r="M882" t="s">
        <v>78</v>
      </c>
      <c r="N882" t="s">
        <v>79</v>
      </c>
      <c r="O882" t="s">
        <v>74</v>
      </c>
      <c r="P882" t="s">
        <v>74</v>
      </c>
      <c r="Q882" t="s">
        <v>74</v>
      </c>
      <c r="R882" t="s">
        <v>74</v>
      </c>
      <c r="S882" t="s">
        <v>74</v>
      </c>
      <c r="T882" t="s">
        <v>13723</v>
      </c>
      <c r="U882" t="s">
        <v>13724</v>
      </c>
      <c r="V882" t="s">
        <v>13725</v>
      </c>
      <c r="W882" t="s">
        <v>13726</v>
      </c>
      <c r="X882" t="s">
        <v>13727</v>
      </c>
      <c r="Y882" t="s">
        <v>13728</v>
      </c>
      <c r="Z882" t="s">
        <v>13729</v>
      </c>
      <c r="AA882" t="s">
        <v>74</v>
      </c>
      <c r="AB882" t="s">
        <v>13730</v>
      </c>
      <c r="AC882" t="s">
        <v>74</v>
      </c>
      <c r="AD882" t="s">
        <v>74</v>
      </c>
      <c r="AE882" t="s">
        <v>74</v>
      </c>
      <c r="AF882" t="s">
        <v>74</v>
      </c>
      <c r="AG882">
        <v>30</v>
      </c>
      <c r="AH882">
        <v>33</v>
      </c>
      <c r="AI882">
        <v>37</v>
      </c>
      <c r="AJ882">
        <v>1</v>
      </c>
      <c r="AK882">
        <v>15</v>
      </c>
      <c r="AL882" t="s">
        <v>1639</v>
      </c>
      <c r="AM882" t="s">
        <v>1593</v>
      </c>
      <c r="AN882" t="s">
        <v>1640</v>
      </c>
      <c r="AO882" t="s">
        <v>13731</v>
      </c>
      <c r="AP882" t="s">
        <v>13732</v>
      </c>
      <c r="AQ882" t="s">
        <v>74</v>
      </c>
      <c r="AR882" t="s">
        <v>13733</v>
      </c>
      <c r="AS882" t="s">
        <v>13734</v>
      </c>
      <c r="AT882" t="s">
        <v>13735</v>
      </c>
      <c r="AU882">
        <v>2007</v>
      </c>
      <c r="AV882">
        <v>40</v>
      </c>
      <c r="AW882">
        <v>2</v>
      </c>
      <c r="AX882" t="s">
        <v>74</v>
      </c>
      <c r="AY882" t="s">
        <v>74</v>
      </c>
      <c r="AZ882" t="s">
        <v>74</v>
      </c>
      <c r="BA882" t="s">
        <v>74</v>
      </c>
      <c r="BB882">
        <v>236</v>
      </c>
      <c r="BC882">
        <v>241</v>
      </c>
      <c r="BD882" t="s">
        <v>74</v>
      </c>
      <c r="BE882" t="s">
        <v>13736</v>
      </c>
      <c r="BF882" t="str">
        <f>HYPERLINK("http://dx.doi.org/10.1016/j.enzmictec.2006.04.002","http://dx.doi.org/10.1016/j.enzmictec.2006.04.002")</f>
        <v>http://dx.doi.org/10.1016/j.enzmictec.2006.04.002</v>
      </c>
      <c r="BG882" t="s">
        <v>74</v>
      </c>
      <c r="BH882" t="s">
        <v>74</v>
      </c>
      <c r="BI882">
        <v>6</v>
      </c>
      <c r="BJ882" t="s">
        <v>13737</v>
      </c>
      <c r="BK882" t="s">
        <v>98</v>
      </c>
      <c r="BL882" t="s">
        <v>13737</v>
      </c>
      <c r="BM882" t="s">
        <v>13738</v>
      </c>
      <c r="BN882" t="s">
        <v>74</v>
      </c>
      <c r="BO882" t="s">
        <v>198</v>
      </c>
      <c r="BP882" t="s">
        <v>74</v>
      </c>
      <c r="BQ882" t="s">
        <v>74</v>
      </c>
      <c r="BR882" t="s">
        <v>101</v>
      </c>
      <c r="BS882" t="s">
        <v>13739</v>
      </c>
      <c r="BT882" t="str">
        <f>HYPERLINK("https%3A%2F%2Fwww.webofscience.com%2Fwos%2Fwoscc%2Ffull-record%2FWOS:000243603500007","View Full Record in Web of Science")</f>
        <v>View Full Record in Web of Science</v>
      </c>
    </row>
    <row r="883" spans="1:72" x14ac:dyDescent="0.15">
      <c r="A883" t="s">
        <v>72</v>
      </c>
      <c r="B883" t="s">
        <v>13740</v>
      </c>
      <c r="C883" t="s">
        <v>74</v>
      </c>
      <c r="D883" t="s">
        <v>74</v>
      </c>
      <c r="E883" t="s">
        <v>74</v>
      </c>
      <c r="F883" t="s">
        <v>13741</v>
      </c>
      <c r="G883" t="s">
        <v>74</v>
      </c>
      <c r="H883" t="s">
        <v>74</v>
      </c>
      <c r="I883" t="s">
        <v>13742</v>
      </c>
      <c r="J883" t="s">
        <v>13743</v>
      </c>
      <c r="K883" t="s">
        <v>74</v>
      </c>
      <c r="L883" t="s">
        <v>74</v>
      </c>
      <c r="M883" t="s">
        <v>78</v>
      </c>
      <c r="N883" t="s">
        <v>79</v>
      </c>
      <c r="O883" t="s">
        <v>74</v>
      </c>
      <c r="P883" t="s">
        <v>74</v>
      </c>
      <c r="Q883" t="s">
        <v>74</v>
      </c>
      <c r="R883" t="s">
        <v>74</v>
      </c>
      <c r="S883" t="s">
        <v>74</v>
      </c>
      <c r="T883" t="s">
        <v>13744</v>
      </c>
      <c r="U883" t="s">
        <v>13745</v>
      </c>
      <c r="V883" t="s">
        <v>13746</v>
      </c>
      <c r="W883" t="s">
        <v>3781</v>
      </c>
      <c r="X883" t="s">
        <v>3782</v>
      </c>
      <c r="Y883" t="s">
        <v>13747</v>
      </c>
      <c r="Z883" t="s">
        <v>3784</v>
      </c>
      <c r="AA883" t="s">
        <v>3785</v>
      </c>
      <c r="AB883" t="s">
        <v>3786</v>
      </c>
      <c r="AC883" t="s">
        <v>74</v>
      </c>
      <c r="AD883" t="s">
        <v>74</v>
      </c>
      <c r="AE883" t="s">
        <v>74</v>
      </c>
      <c r="AF883" t="s">
        <v>74</v>
      </c>
      <c r="AG883">
        <v>28</v>
      </c>
      <c r="AH883">
        <v>14</v>
      </c>
      <c r="AI883">
        <v>19</v>
      </c>
      <c r="AJ883">
        <v>0</v>
      </c>
      <c r="AK883">
        <v>7</v>
      </c>
      <c r="AL883" t="s">
        <v>13748</v>
      </c>
      <c r="AM883" t="s">
        <v>13749</v>
      </c>
      <c r="AN883" t="s">
        <v>13750</v>
      </c>
      <c r="AO883" t="s">
        <v>74</v>
      </c>
      <c r="AP883" t="s">
        <v>13751</v>
      </c>
      <c r="AQ883" t="s">
        <v>74</v>
      </c>
      <c r="AR883" t="s">
        <v>13752</v>
      </c>
      <c r="AS883" t="s">
        <v>13753</v>
      </c>
      <c r="AT883" t="s">
        <v>13754</v>
      </c>
      <c r="AU883">
        <v>2007</v>
      </c>
      <c r="AV883">
        <v>104</v>
      </c>
      <c r="AW883">
        <v>1</v>
      </c>
      <c r="AX883" t="s">
        <v>74</v>
      </c>
      <c r="AY883" t="s">
        <v>74</v>
      </c>
      <c r="AZ883" t="s">
        <v>74</v>
      </c>
      <c r="BA883" t="s">
        <v>74</v>
      </c>
      <c r="BB883">
        <v>9</v>
      </c>
      <c r="BC883">
        <v>14</v>
      </c>
      <c r="BD883" t="s">
        <v>74</v>
      </c>
      <c r="BE883" t="s">
        <v>13755</v>
      </c>
      <c r="BF883" t="str">
        <f>HYPERLINK("http://dx.doi.org/10.14411/eje.2007.002","http://dx.doi.org/10.14411/eje.2007.002")</f>
        <v>http://dx.doi.org/10.14411/eje.2007.002</v>
      </c>
      <c r="BG883" t="s">
        <v>74</v>
      </c>
      <c r="BH883" t="s">
        <v>74</v>
      </c>
      <c r="BI883">
        <v>6</v>
      </c>
      <c r="BJ883" t="s">
        <v>13756</v>
      </c>
      <c r="BK883" t="s">
        <v>98</v>
      </c>
      <c r="BL883" t="s">
        <v>13756</v>
      </c>
      <c r="BM883" t="s">
        <v>13757</v>
      </c>
      <c r="BN883" t="s">
        <v>74</v>
      </c>
      <c r="BO883" t="s">
        <v>13275</v>
      </c>
      <c r="BP883" t="s">
        <v>74</v>
      </c>
      <c r="BQ883" t="s">
        <v>74</v>
      </c>
      <c r="BR883" t="s">
        <v>101</v>
      </c>
      <c r="BS883" t="s">
        <v>13758</v>
      </c>
      <c r="BT883" t="str">
        <f>HYPERLINK("https%3A%2F%2Fwww.webofscience.com%2Fwos%2Fwoscc%2Ffull-record%2FWOS:000243077100002","View Full Record in Web of Science")</f>
        <v>View Full Record in Web of Science</v>
      </c>
    </row>
    <row r="884" spans="1:72" x14ac:dyDescent="0.15">
      <c r="A884" t="s">
        <v>72</v>
      </c>
      <c r="B884" t="s">
        <v>13759</v>
      </c>
      <c r="C884" t="s">
        <v>74</v>
      </c>
      <c r="D884" t="s">
        <v>74</v>
      </c>
      <c r="E884" t="s">
        <v>74</v>
      </c>
      <c r="F884" t="s">
        <v>13760</v>
      </c>
      <c r="G884" t="s">
        <v>74</v>
      </c>
      <c r="H884" t="s">
        <v>74</v>
      </c>
      <c r="I884" t="s">
        <v>13761</v>
      </c>
      <c r="J884" t="s">
        <v>130</v>
      </c>
      <c r="K884" t="s">
        <v>74</v>
      </c>
      <c r="L884" t="s">
        <v>74</v>
      </c>
      <c r="M884" t="s">
        <v>78</v>
      </c>
      <c r="N884" t="s">
        <v>79</v>
      </c>
      <c r="O884" t="s">
        <v>74</v>
      </c>
      <c r="P884" t="s">
        <v>74</v>
      </c>
      <c r="Q884" t="s">
        <v>74</v>
      </c>
      <c r="R884" t="s">
        <v>74</v>
      </c>
      <c r="S884" t="s">
        <v>74</v>
      </c>
      <c r="T884" t="s">
        <v>74</v>
      </c>
      <c r="U884" t="s">
        <v>13762</v>
      </c>
      <c r="V884" t="s">
        <v>13763</v>
      </c>
      <c r="W884" t="s">
        <v>13764</v>
      </c>
      <c r="X884" t="s">
        <v>13765</v>
      </c>
      <c r="Y884" t="s">
        <v>13766</v>
      </c>
      <c r="Z884" t="s">
        <v>13767</v>
      </c>
      <c r="AA884" t="s">
        <v>13768</v>
      </c>
      <c r="AB884" t="s">
        <v>13769</v>
      </c>
      <c r="AC884" t="s">
        <v>74</v>
      </c>
      <c r="AD884" t="s">
        <v>74</v>
      </c>
      <c r="AE884" t="s">
        <v>74</v>
      </c>
      <c r="AF884" t="s">
        <v>74</v>
      </c>
      <c r="AG884">
        <v>21</v>
      </c>
      <c r="AH884">
        <v>97</v>
      </c>
      <c r="AI884">
        <v>109</v>
      </c>
      <c r="AJ884">
        <v>0</v>
      </c>
      <c r="AK884">
        <v>19</v>
      </c>
      <c r="AL884" t="s">
        <v>141</v>
      </c>
      <c r="AM884" t="s">
        <v>142</v>
      </c>
      <c r="AN884" t="s">
        <v>143</v>
      </c>
      <c r="AO884" t="s">
        <v>144</v>
      </c>
      <c r="AP884" t="s">
        <v>145</v>
      </c>
      <c r="AQ884" t="s">
        <v>74</v>
      </c>
      <c r="AR884" t="s">
        <v>146</v>
      </c>
      <c r="AS884" t="s">
        <v>147</v>
      </c>
      <c r="AT884" t="s">
        <v>13754</v>
      </c>
      <c r="AU884">
        <v>2007</v>
      </c>
      <c r="AV884">
        <v>34</v>
      </c>
      <c r="AW884">
        <v>1</v>
      </c>
      <c r="AX884" t="s">
        <v>74</v>
      </c>
      <c r="AY884" t="s">
        <v>74</v>
      </c>
      <c r="AZ884" t="s">
        <v>74</v>
      </c>
      <c r="BA884" t="s">
        <v>74</v>
      </c>
      <c r="BB884" t="s">
        <v>74</v>
      </c>
      <c r="BC884" t="s">
        <v>74</v>
      </c>
      <c r="BD884" t="s">
        <v>13770</v>
      </c>
      <c r="BE884" t="s">
        <v>13771</v>
      </c>
      <c r="BF884" t="str">
        <f>HYPERLINK("http://dx.doi.org/10.1029/2006GL027693","http://dx.doi.org/10.1029/2006GL027693")</f>
        <v>http://dx.doi.org/10.1029/2006GL027693</v>
      </c>
      <c r="BG884" t="s">
        <v>74</v>
      </c>
      <c r="BH884" t="s">
        <v>74</v>
      </c>
      <c r="BI884">
        <v>5</v>
      </c>
      <c r="BJ884" t="s">
        <v>151</v>
      </c>
      <c r="BK884" t="s">
        <v>98</v>
      </c>
      <c r="BL884" t="s">
        <v>152</v>
      </c>
      <c r="BM884" t="s">
        <v>13772</v>
      </c>
      <c r="BN884" t="s">
        <v>74</v>
      </c>
      <c r="BO884" t="s">
        <v>304</v>
      </c>
      <c r="BP884" t="s">
        <v>74</v>
      </c>
      <c r="BQ884" t="s">
        <v>74</v>
      </c>
      <c r="BR884" t="s">
        <v>101</v>
      </c>
      <c r="BS884" t="s">
        <v>13773</v>
      </c>
      <c r="BT884" t="str">
        <f>HYPERLINK("https%3A%2F%2Fwww.webofscience.com%2Fwos%2Fwoscc%2Ffull-record%2FWOS:000243350800003","View Full Record in Web of Science")</f>
        <v>View Full Record in Web of Science</v>
      </c>
    </row>
    <row r="885" spans="1:72" x14ac:dyDescent="0.15">
      <c r="A885" t="s">
        <v>5932</v>
      </c>
      <c r="B885" t="s">
        <v>13774</v>
      </c>
      <c r="C885" t="s">
        <v>74</v>
      </c>
      <c r="D885" t="s">
        <v>13775</v>
      </c>
      <c r="E885" t="s">
        <v>74</v>
      </c>
      <c r="F885" t="s">
        <v>13776</v>
      </c>
      <c r="G885" t="s">
        <v>74</v>
      </c>
      <c r="H885" t="s">
        <v>74</v>
      </c>
      <c r="I885" t="s">
        <v>13777</v>
      </c>
      <c r="J885" t="s">
        <v>13778</v>
      </c>
      <c r="K885" t="s">
        <v>13779</v>
      </c>
      <c r="L885" t="s">
        <v>74</v>
      </c>
      <c r="M885" t="s">
        <v>78</v>
      </c>
      <c r="N885" t="s">
        <v>5938</v>
      </c>
      <c r="O885" t="s">
        <v>13780</v>
      </c>
      <c r="P885" t="s">
        <v>13781</v>
      </c>
      <c r="Q885" t="s">
        <v>13782</v>
      </c>
      <c r="R885" t="s">
        <v>74</v>
      </c>
      <c r="S885" t="s">
        <v>74</v>
      </c>
      <c r="T885" t="s">
        <v>74</v>
      </c>
      <c r="U885" t="s">
        <v>74</v>
      </c>
      <c r="V885" t="s">
        <v>13783</v>
      </c>
      <c r="W885" t="s">
        <v>13784</v>
      </c>
      <c r="X885" t="s">
        <v>13785</v>
      </c>
      <c r="Y885" t="s">
        <v>13786</v>
      </c>
      <c r="Z885" t="s">
        <v>74</v>
      </c>
      <c r="AA885" t="s">
        <v>74</v>
      </c>
      <c r="AB885" t="s">
        <v>74</v>
      </c>
      <c r="AC885" t="s">
        <v>74</v>
      </c>
      <c r="AD885" t="s">
        <v>74</v>
      </c>
      <c r="AE885" t="s">
        <v>74</v>
      </c>
      <c r="AF885" t="s">
        <v>74</v>
      </c>
      <c r="AG885">
        <v>0</v>
      </c>
      <c r="AH885">
        <v>1</v>
      </c>
      <c r="AI885">
        <v>1</v>
      </c>
      <c r="AJ885">
        <v>0</v>
      </c>
      <c r="AK885">
        <v>0</v>
      </c>
      <c r="AL885" t="s">
        <v>13787</v>
      </c>
      <c r="AM885" t="s">
        <v>13788</v>
      </c>
      <c r="AN885" t="s">
        <v>13789</v>
      </c>
      <c r="AO885" t="s">
        <v>13790</v>
      </c>
      <c r="AP885" t="s">
        <v>74</v>
      </c>
      <c r="AQ885" t="s">
        <v>13791</v>
      </c>
      <c r="AR885" t="s">
        <v>13792</v>
      </c>
      <c r="AS885" t="s">
        <v>74</v>
      </c>
      <c r="AT885" t="s">
        <v>74</v>
      </c>
      <c r="AU885">
        <v>2007</v>
      </c>
      <c r="AV885">
        <v>25</v>
      </c>
      <c r="AW885" t="s">
        <v>74</v>
      </c>
      <c r="AX885" t="s">
        <v>74</v>
      </c>
      <c r="AY885" t="s">
        <v>74</v>
      </c>
      <c r="AZ885" t="s">
        <v>74</v>
      </c>
      <c r="BA885" t="s">
        <v>74</v>
      </c>
      <c r="BB885">
        <v>1</v>
      </c>
      <c r="BC885">
        <v>4</v>
      </c>
      <c r="BD885" t="s">
        <v>74</v>
      </c>
      <c r="BE885" t="s">
        <v>13793</v>
      </c>
      <c r="BF885" t="str">
        <f>HYPERLINK("http://dx.doi.org/10.1051/eas:2007063","http://dx.doi.org/10.1051/eas:2007063")</f>
        <v>http://dx.doi.org/10.1051/eas:2007063</v>
      </c>
      <c r="BG885" t="s">
        <v>74</v>
      </c>
      <c r="BH885" t="s">
        <v>74</v>
      </c>
      <c r="BI885">
        <v>4</v>
      </c>
      <c r="BJ885" t="s">
        <v>175</v>
      </c>
      <c r="BK885" t="s">
        <v>5953</v>
      </c>
      <c r="BL885" t="s">
        <v>175</v>
      </c>
      <c r="BM885" t="s">
        <v>13794</v>
      </c>
      <c r="BN885" t="s">
        <v>74</v>
      </c>
      <c r="BO885" t="s">
        <v>797</v>
      </c>
      <c r="BP885" t="s">
        <v>74</v>
      </c>
      <c r="BQ885" t="s">
        <v>74</v>
      </c>
      <c r="BR885" t="s">
        <v>101</v>
      </c>
      <c r="BS885" t="s">
        <v>13795</v>
      </c>
      <c r="BT885" t="str">
        <f>HYPERLINK("https%3A%2F%2Fwww.webofscience.com%2Fwos%2Fwoscc%2Ffull-record%2FWOS:000248621600001","View Full Record in Web of Science")</f>
        <v>View Full Record in Web of Science</v>
      </c>
    </row>
    <row r="886" spans="1:72" x14ac:dyDescent="0.15">
      <c r="A886" t="s">
        <v>5932</v>
      </c>
      <c r="B886" t="s">
        <v>13796</v>
      </c>
      <c r="C886" t="s">
        <v>74</v>
      </c>
      <c r="D886" t="s">
        <v>13775</v>
      </c>
      <c r="E886" t="s">
        <v>74</v>
      </c>
      <c r="F886" t="s">
        <v>13797</v>
      </c>
      <c r="G886" t="s">
        <v>74</v>
      </c>
      <c r="H886" t="s">
        <v>74</v>
      </c>
      <c r="I886" t="s">
        <v>13798</v>
      </c>
      <c r="J886" t="s">
        <v>13799</v>
      </c>
      <c r="K886" t="s">
        <v>13800</v>
      </c>
      <c r="L886" t="s">
        <v>74</v>
      </c>
      <c r="M886" t="s">
        <v>78</v>
      </c>
      <c r="N886" t="s">
        <v>5938</v>
      </c>
      <c r="O886" t="s">
        <v>13780</v>
      </c>
      <c r="P886" t="s">
        <v>13781</v>
      </c>
      <c r="Q886" t="s">
        <v>13782</v>
      </c>
      <c r="R886" t="s">
        <v>74</v>
      </c>
      <c r="S886" t="s">
        <v>74</v>
      </c>
      <c r="T886" t="s">
        <v>74</v>
      </c>
      <c r="U886" t="s">
        <v>74</v>
      </c>
      <c r="V886" t="s">
        <v>13801</v>
      </c>
      <c r="W886" t="s">
        <v>13802</v>
      </c>
      <c r="X886" t="s">
        <v>74</v>
      </c>
      <c r="Y886" t="s">
        <v>13803</v>
      </c>
      <c r="Z886" t="s">
        <v>74</v>
      </c>
      <c r="AA886" t="s">
        <v>74</v>
      </c>
      <c r="AB886" t="s">
        <v>9889</v>
      </c>
      <c r="AC886" t="s">
        <v>74</v>
      </c>
      <c r="AD886" t="s">
        <v>74</v>
      </c>
      <c r="AE886" t="s">
        <v>74</v>
      </c>
      <c r="AF886" t="s">
        <v>74</v>
      </c>
      <c r="AG886">
        <v>0</v>
      </c>
      <c r="AH886">
        <v>4</v>
      </c>
      <c r="AI886">
        <v>4</v>
      </c>
      <c r="AJ886">
        <v>0</v>
      </c>
      <c r="AK886">
        <v>2</v>
      </c>
      <c r="AL886" t="s">
        <v>13787</v>
      </c>
      <c r="AM886" t="s">
        <v>13788</v>
      </c>
      <c r="AN886" t="s">
        <v>13789</v>
      </c>
      <c r="AO886" t="s">
        <v>13790</v>
      </c>
      <c r="AP886" t="s">
        <v>74</v>
      </c>
      <c r="AQ886" t="s">
        <v>13791</v>
      </c>
      <c r="AR886" t="s">
        <v>13792</v>
      </c>
      <c r="AS886" t="s">
        <v>74</v>
      </c>
      <c r="AT886" t="s">
        <v>74</v>
      </c>
      <c r="AU886">
        <v>2007</v>
      </c>
      <c r="AV886">
        <v>25</v>
      </c>
      <c r="AW886" t="s">
        <v>74</v>
      </c>
      <c r="AX886" t="s">
        <v>74</v>
      </c>
      <c r="AY886" t="s">
        <v>74</v>
      </c>
      <c r="AZ886" t="s">
        <v>74</v>
      </c>
      <c r="BA886" t="s">
        <v>74</v>
      </c>
      <c r="BB886">
        <v>7</v>
      </c>
      <c r="BC886" t="s">
        <v>5541</v>
      </c>
      <c r="BD886" t="s">
        <v>74</v>
      </c>
      <c r="BE886" t="s">
        <v>13804</v>
      </c>
      <c r="BF886" t="str">
        <f>HYPERLINK("http://dx.doi.org/10.1051/eas:2007064","http://dx.doi.org/10.1051/eas:2007064")</f>
        <v>http://dx.doi.org/10.1051/eas:2007064</v>
      </c>
      <c r="BG886" t="s">
        <v>74</v>
      </c>
      <c r="BH886" t="s">
        <v>74</v>
      </c>
      <c r="BI886">
        <v>2</v>
      </c>
      <c r="BJ886" t="s">
        <v>175</v>
      </c>
      <c r="BK886" t="s">
        <v>5953</v>
      </c>
      <c r="BL886" t="s">
        <v>175</v>
      </c>
      <c r="BM886" t="s">
        <v>13794</v>
      </c>
      <c r="BN886" t="s">
        <v>74</v>
      </c>
      <c r="BO886" t="s">
        <v>74</v>
      </c>
      <c r="BP886" t="s">
        <v>74</v>
      </c>
      <c r="BQ886" t="s">
        <v>74</v>
      </c>
      <c r="BR886" t="s">
        <v>101</v>
      </c>
      <c r="BS886" t="s">
        <v>13805</v>
      </c>
      <c r="BT886" t="str">
        <f>HYPERLINK("https%3A%2F%2Fwww.webofscience.com%2Fwos%2Fwoscc%2Ffull-record%2FWOS:000248621600002","View Full Record in Web of Science")</f>
        <v>View Full Record in Web of Science</v>
      </c>
    </row>
    <row r="887" spans="1:72" x14ac:dyDescent="0.15">
      <c r="A887" t="s">
        <v>5932</v>
      </c>
      <c r="B887" t="s">
        <v>13806</v>
      </c>
      <c r="C887" t="s">
        <v>74</v>
      </c>
      <c r="D887" t="s">
        <v>13775</v>
      </c>
      <c r="E887" t="s">
        <v>74</v>
      </c>
      <c r="F887" t="s">
        <v>13807</v>
      </c>
      <c r="G887" t="s">
        <v>74</v>
      </c>
      <c r="H887" t="s">
        <v>74</v>
      </c>
      <c r="I887" t="s">
        <v>13808</v>
      </c>
      <c r="J887" t="s">
        <v>13778</v>
      </c>
      <c r="K887" t="s">
        <v>13779</v>
      </c>
      <c r="L887" t="s">
        <v>74</v>
      </c>
      <c r="M887" t="s">
        <v>78</v>
      </c>
      <c r="N887" t="s">
        <v>5938</v>
      </c>
      <c r="O887" t="s">
        <v>13780</v>
      </c>
      <c r="P887" t="s">
        <v>13781</v>
      </c>
      <c r="Q887" t="s">
        <v>13782</v>
      </c>
      <c r="R887" t="s">
        <v>74</v>
      </c>
      <c r="S887" t="s">
        <v>74</v>
      </c>
      <c r="T887" t="s">
        <v>74</v>
      </c>
      <c r="U887" t="s">
        <v>74</v>
      </c>
      <c r="V887" t="s">
        <v>13809</v>
      </c>
      <c r="W887" t="s">
        <v>13810</v>
      </c>
      <c r="X887" t="s">
        <v>13811</v>
      </c>
      <c r="Y887" t="s">
        <v>13812</v>
      </c>
      <c r="Z887" t="s">
        <v>74</v>
      </c>
      <c r="AA887" t="s">
        <v>74</v>
      </c>
      <c r="AB887" t="s">
        <v>74</v>
      </c>
      <c r="AC887" t="s">
        <v>74</v>
      </c>
      <c r="AD887" t="s">
        <v>74</v>
      </c>
      <c r="AE887" t="s">
        <v>74</v>
      </c>
      <c r="AF887" t="s">
        <v>74</v>
      </c>
      <c r="AG887">
        <v>0</v>
      </c>
      <c r="AH887">
        <v>0</v>
      </c>
      <c r="AI887">
        <v>0</v>
      </c>
      <c r="AJ887">
        <v>0</v>
      </c>
      <c r="AK887">
        <v>0</v>
      </c>
      <c r="AL887" t="s">
        <v>13787</v>
      </c>
      <c r="AM887" t="s">
        <v>13788</v>
      </c>
      <c r="AN887" t="s">
        <v>13789</v>
      </c>
      <c r="AO887" t="s">
        <v>13790</v>
      </c>
      <c r="AP887" t="s">
        <v>74</v>
      </c>
      <c r="AQ887" t="s">
        <v>13791</v>
      </c>
      <c r="AR887" t="s">
        <v>13792</v>
      </c>
      <c r="AS887" t="s">
        <v>74</v>
      </c>
      <c r="AT887" t="s">
        <v>74</v>
      </c>
      <c r="AU887">
        <v>2007</v>
      </c>
      <c r="AV887">
        <v>25</v>
      </c>
      <c r="AW887" t="s">
        <v>74</v>
      </c>
      <c r="AX887" t="s">
        <v>74</v>
      </c>
      <c r="AY887" t="s">
        <v>74</v>
      </c>
      <c r="AZ887" t="s">
        <v>74</v>
      </c>
      <c r="BA887" t="s">
        <v>74</v>
      </c>
      <c r="BB887">
        <v>13</v>
      </c>
      <c r="BC887">
        <v>17</v>
      </c>
      <c r="BD887" t="s">
        <v>74</v>
      </c>
      <c r="BE887" t="s">
        <v>13813</v>
      </c>
      <c r="BF887" t="str">
        <f>HYPERLINK("http://dx.doi.org/10.1051/eas:2007065","http://dx.doi.org/10.1051/eas:2007065")</f>
        <v>http://dx.doi.org/10.1051/eas:2007065</v>
      </c>
      <c r="BG887" t="s">
        <v>74</v>
      </c>
      <c r="BH887" t="s">
        <v>74</v>
      </c>
      <c r="BI887">
        <v>5</v>
      </c>
      <c r="BJ887" t="s">
        <v>175</v>
      </c>
      <c r="BK887" t="s">
        <v>5953</v>
      </c>
      <c r="BL887" t="s">
        <v>175</v>
      </c>
      <c r="BM887" t="s">
        <v>13794</v>
      </c>
      <c r="BN887" t="s">
        <v>74</v>
      </c>
      <c r="BO887" t="s">
        <v>74</v>
      </c>
      <c r="BP887" t="s">
        <v>74</v>
      </c>
      <c r="BQ887" t="s">
        <v>74</v>
      </c>
      <c r="BR887" t="s">
        <v>101</v>
      </c>
      <c r="BS887" t="s">
        <v>13814</v>
      </c>
      <c r="BT887" t="str">
        <f>HYPERLINK("https%3A%2F%2Fwww.webofscience.com%2Fwos%2Fwoscc%2Ffull-record%2FWOS:000248621600003","View Full Record in Web of Science")</f>
        <v>View Full Record in Web of Science</v>
      </c>
    </row>
    <row r="888" spans="1:72" x14ac:dyDescent="0.15">
      <c r="A888" t="s">
        <v>5932</v>
      </c>
      <c r="B888" t="s">
        <v>13815</v>
      </c>
      <c r="C888" t="s">
        <v>74</v>
      </c>
      <c r="D888" t="s">
        <v>13775</v>
      </c>
      <c r="E888" t="s">
        <v>74</v>
      </c>
      <c r="F888" t="s">
        <v>13816</v>
      </c>
      <c r="G888" t="s">
        <v>74</v>
      </c>
      <c r="H888" t="s">
        <v>74</v>
      </c>
      <c r="I888" t="s">
        <v>13817</v>
      </c>
      <c r="J888" t="s">
        <v>13778</v>
      </c>
      <c r="K888" t="s">
        <v>13779</v>
      </c>
      <c r="L888" t="s">
        <v>74</v>
      </c>
      <c r="M888" t="s">
        <v>78</v>
      </c>
      <c r="N888" t="s">
        <v>5938</v>
      </c>
      <c r="O888" t="s">
        <v>13780</v>
      </c>
      <c r="P888" t="s">
        <v>13781</v>
      </c>
      <c r="Q888" t="s">
        <v>13782</v>
      </c>
      <c r="R888" t="s">
        <v>74</v>
      </c>
      <c r="S888" t="s">
        <v>74</v>
      </c>
      <c r="T888" t="s">
        <v>74</v>
      </c>
      <c r="U888" t="s">
        <v>74</v>
      </c>
      <c r="V888" t="s">
        <v>13818</v>
      </c>
      <c r="W888" t="s">
        <v>13819</v>
      </c>
      <c r="X888" t="s">
        <v>13820</v>
      </c>
      <c r="Y888" t="s">
        <v>13821</v>
      </c>
      <c r="Z888" t="s">
        <v>74</v>
      </c>
      <c r="AA888" t="s">
        <v>13822</v>
      </c>
      <c r="AB888" t="s">
        <v>13823</v>
      </c>
      <c r="AC888" t="s">
        <v>74</v>
      </c>
      <c r="AD888" t="s">
        <v>74</v>
      </c>
      <c r="AE888" t="s">
        <v>74</v>
      </c>
      <c r="AF888" t="s">
        <v>74</v>
      </c>
      <c r="AG888">
        <v>0</v>
      </c>
      <c r="AH888">
        <v>0</v>
      </c>
      <c r="AI888">
        <v>0</v>
      </c>
      <c r="AJ888">
        <v>0</v>
      </c>
      <c r="AK888">
        <v>0</v>
      </c>
      <c r="AL888" t="s">
        <v>13787</v>
      </c>
      <c r="AM888" t="s">
        <v>13788</v>
      </c>
      <c r="AN888" t="s">
        <v>13789</v>
      </c>
      <c r="AO888" t="s">
        <v>13790</v>
      </c>
      <c r="AP888" t="s">
        <v>74</v>
      </c>
      <c r="AQ888" t="s">
        <v>13791</v>
      </c>
      <c r="AR888" t="s">
        <v>13792</v>
      </c>
      <c r="AS888" t="s">
        <v>74</v>
      </c>
      <c r="AT888" t="s">
        <v>74</v>
      </c>
      <c r="AU888">
        <v>2007</v>
      </c>
      <c r="AV888">
        <v>25</v>
      </c>
      <c r="AW888" t="s">
        <v>74</v>
      </c>
      <c r="AX888" t="s">
        <v>74</v>
      </c>
      <c r="AY888" t="s">
        <v>74</v>
      </c>
      <c r="AZ888" t="s">
        <v>74</v>
      </c>
      <c r="BA888" t="s">
        <v>74</v>
      </c>
      <c r="BB888">
        <v>19</v>
      </c>
      <c r="BC888">
        <v>22</v>
      </c>
      <c r="BD888" t="s">
        <v>74</v>
      </c>
      <c r="BE888" t="s">
        <v>13824</v>
      </c>
      <c r="BF888" t="str">
        <f>HYPERLINK("http://dx.doi.org/10.1051/eas:2007066","http://dx.doi.org/10.1051/eas:2007066")</f>
        <v>http://dx.doi.org/10.1051/eas:2007066</v>
      </c>
      <c r="BG888" t="s">
        <v>74</v>
      </c>
      <c r="BH888" t="s">
        <v>74</v>
      </c>
      <c r="BI888">
        <v>4</v>
      </c>
      <c r="BJ888" t="s">
        <v>175</v>
      </c>
      <c r="BK888" t="s">
        <v>5953</v>
      </c>
      <c r="BL888" t="s">
        <v>175</v>
      </c>
      <c r="BM888" t="s">
        <v>13794</v>
      </c>
      <c r="BN888" t="s">
        <v>74</v>
      </c>
      <c r="BO888" t="s">
        <v>74</v>
      </c>
      <c r="BP888" t="s">
        <v>74</v>
      </c>
      <c r="BQ888" t="s">
        <v>74</v>
      </c>
      <c r="BR888" t="s">
        <v>101</v>
      </c>
      <c r="BS888" t="s">
        <v>13825</v>
      </c>
      <c r="BT888" t="str">
        <f>HYPERLINK("https%3A%2F%2Fwww.webofscience.com%2Fwos%2Fwoscc%2Ffull-record%2FWOS:000248621600004","View Full Record in Web of Science")</f>
        <v>View Full Record in Web of Science</v>
      </c>
    </row>
    <row r="889" spans="1:72" x14ac:dyDescent="0.15">
      <c r="A889" t="s">
        <v>5932</v>
      </c>
      <c r="B889" t="s">
        <v>13826</v>
      </c>
      <c r="C889" t="s">
        <v>74</v>
      </c>
      <c r="D889" t="s">
        <v>13775</v>
      </c>
      <c r="E889" t="s">
        <v>74</v>
      </c>
      <c r="F889" t="s">
        <v>13827</v>
      </c>
      <c r="G889" t="s">
        <v>74</v>
      </c>
      <c r="H889" t="s">
        <v>74</v>
      </c>
      <c r="I889" t="s">
        <v>13828</v>
      </c>
      <c r="J889" t="s">
        <v>13778</v>
      </c>
      <c r="K889" t="s">
        <v>13779</v>
      </c>
      <c r="L889" t="s">
        <v>74</v>
      </c>
      <c r="M889" t="s">
        <v>78</v>
      </c>
      <c r="N889" t="s">
        <v>5938</v>
      </c>
      <c r="O889" t="s">
        <v>13780</v>
      </c>
      <c r="P889" t="s">
        <v>13781</v>
      </c>
      <c r="Q889" t="s">
        <v>13782</v>
      </c>
      <c r="R889" t="s">
        <v>74</v>
      </c>
      <c r="S889" t="s">
        <v>74</v>
      </c>
      <c r="T889" t="s">
        <v>74</v>
      </c>
      <c r="U889" t="s">
        <v>13829</v>
      </c>
      <c r="V889" t="s">
        <v>13830</v>
      </c>
      <c r="W889" t="s">
        <v>13831</v>
      </c>
      <c r="X889" t="s">
        <v>13820</v>
      </c>
      <c r="Y889" t="s">
        <v>13832</v>
      </c>
      <c r="Z889" t="s">
        <v>74</v>
      </c>
      <c r="AA889" t="s">
        <v>13833</v>
      </c>
      <c r="AB889" t="s">
        <v>13834</v>
      </c>
      <c r="AC889" t="s">
        <v>74</v>
      </c>
      <c r="AD889" t="s">
        <v>74</v>
      </c>
      <c r="AE889" t="s">
        <v>74</v>
      </c>
      <c r="AF889" t="s">
        <v>74</v>
      </c>
      <c r="AG889">
        <v>9</v>
      </c>
      <c r="AH889">
        <v>3</v>
      </c>
      <c r="AI889">
        <v>3</v>
      </c>
      <c r="AJ889">
        <v>0</v>
      </c>
      <c r="AK889">
        <v>0</v>
      </c>
      <c r="AL889" t="s">
        <v>13787</v>
      </c>
      <c r="AM889" t="s">
        <v>13788</v>
      </c>
      <c r="AN889" t="s">
        <v>13789</v>
      </c>
      <c r="AO889" t="s">
        <v>13790</v>
      </c>
      <c r="AP889" t="s">
        <v>74</v>
      </c>
      <c r="AQ889" t="s">
        <v>13791</v>
      </c>
      <c r="AR889" t="s">
        <v>13792</v>
      </c>
      <c r="AS889" t="s">
        <v>74</v>
      </c>
      <c r="AT889" t="s">
        <v>74</v>
      </c>
      <c r="AU889">
        <v>2007</v>
      </c>
      <c r="AV889">
        <v>25</v>
      </c>
      <c r="AW889" t="s">
        <v>74</v>
      </c>
      <c r="AX889" t="s">
        <v>74</v>
      </c>
      <c r="AY889" t="s">
        <v>74</v>
      </c>
      <c r="AZ889" t="s">
        <v>74</v>
      </c>
      <c r="BA889" t="s">
        <v>74</v>
      </c>
      <c r="BB889">
        <v>23</v>
      </c>
      <c r="BC889">
        <v>30</v>
      </c>
      <c r="BD889" t="s">
        <v>74</v>
      </c>
      <c r="BE889" t="s">
        <v>13835</v>
      </c>
      <c r="BF889" t="str">
        <f>HYPERLINK("http://dx.doi.org/10.1051/eas:2007067","http://dx.doi.org/10.1051/eas:2007067")</f>
        <v>http://dx.doi.org/10.1051/eas:2007067</v>
      </c>
      <c r="BG889" t="s">
        <v>74</v>
      </c>
      <c r="BH889" t="s">
        <v>74</v>
      </c>
      <c r="BI889">
        <v>8</v>
      </c>
      <c r="BJ889" t="s">
        <v>175</v>
      </c>
      <c r="BK889" t="s">
        <v>5953</v>
      </c>
      <c r="BL889" t="s">
        <v>175</v>
      </c>
      <c r="BM889" t="s">
        <v>13794</v>
      </c>
      <c r="BN889" t="s">
        <v>74</v>
      </c>
      <c r="BO889" t="s">
        <v>74</v>
      </c>
      <c r="BP889" t="s">
        <v>74</v>
      </c>
      <c r="BQ889" t="s">
        <v>74</v>
      </c>
      <c r="BR889" t="s">
        <v>101</v>
      </c>
      <c r="BS889" t="s">
        <v>13836</v>
      </c>
      <c r="BT889" t="str">
        <f>HYPERLINK("https%3A%2F%2Fwww.webofscience.com%2Fwos%2Fwoscc%2Ffull-record%2FWOS:000248621600005","View Full Record in Web of Science")</f>
        <v>View Full Record in Web of Science</v>
      </c>
    </row>
    <row r="890" spans="1:72" x14ac:dyDescent="0.15">
      <c r="A890" t="s">
        <v>5932</v>
      </c>
      <c r="B890" t="s">
        <v>13837</v>
      </c>
      <c r="C890" t="s">
        <v>74</v>
      </c>
      <c r="D890" t="s">
        <v>13775</v>
      </c>
      <c r="E890" t="s">
        <v>74</v>
      </c>
      <c r="F890" t="s">
        <v>13838</v>
      </c>
      <c r="G890" t="s">
        <v>74</v>
      </c>
      <c r="H890" t="s">
        <v>74</v>
      </c>
      <c r="I890" t="s">
        <v>13839</v>
      </c>
      <c r="J890" t="s">
        <v>13799</v>
      </c>
      <c r="K890" t="s">
        <v>13800</v>
      </c>
      <c r="L890" t="s">
        <v>74</v>
      </c>
      <c r="M890" t="s">
        <v>78</v>
      </c>
      <c r="N890" t="s">
        <v>5938</v>
      </c>
      <c r="O890" t="s">
        <v>13780</v>
      </c>
      <c r="P890" t="s">
        <v>13781</v>
      </c>
      <c r="Q890" t="s">
        <v>13782</v>
      </c>
      <c r="R890" t="s">
        <v>74</v>
      </c>
      <c r="S890" t="s">
        <v>74</v>
      </c>
      <c r="T890" t="s">
        <v>74</v>
      </c>
      <c r="U890" t="s">
        <v>13829</v>
      </c>
      <c r="V890" t="s">
        <v>13840</v>
      </c>
      <c r="W890" t="s">
        <v>13841</v>
      </c>
      <c r="X890" t="s">
        <v>13842</v>
      </c>
      <c r="Y890" t="s">
        <v>13843</v>
      </c>
      <c r="Z890" t="s">
        <v>13844</v>
      </c>
      <c r="AA890" t="s">
        <v>74</v>
      </c>
      <c r="AB890" t="s">
        <v>13845</v>
      </c>
      <c r="AC890" t="s">
        <v>74</v>
      </c>
      <c r="AD890" t="s">
        <v>74</v>
      </c>
      <c r="AE890" t="s">
        <v>74</v>
      </c>
      <c r="AF890" t="s">
        <v>74</v>
      </c>
      <c r="AG890">
        <v>5</v>
      </c>
      <c r="AH890">
        <v>2</v>
      </c>
      <c r="AI890">
        <v>3</v>
      </c>
      <c r="AJ890">
        <v>0</v>
      </c>
      <c r="AK890">
        <v>1</v>
      </c>
      <c r="AL890" t="s">
        <v>13787</v>
      </c>
      <c r="AM890" t="s">
        <v>13788</v>
      </c>
      <c r="AN890" t="s">
        <v>13789</v>
      </c>
      <c r="AO890" t="s">
        <v>13790</v>
      </c>
      <c r="AP890" t="s">
        <v>74</v>
      </c>
      <c r="AQ890" t="s">
        <v>13791</v>
      </c>
      <c r="AR890" t="s">
        <v>13792</v>
      </c>
      <c r="AS890" t="s">
        <v>74</v>
      </c>
      <c r="AT890" t="s">
        <v>74</v>
      </c>
      <c r="AU890">
        <v>2007</v>
      </c>
      <c r="AV890">
        <v>25</v>
      </c>
      <c r="AW890" t="s">
        <v>74</v>
      </c>
      <c r="AX890" t="s">
        <v>74</v>
      </c>
      <c r="AY890" t="s">
        <v>74</v>
      </c>
      <c r="AZ890" t="s">
        <v>74</v>
      </c>
      <c r="BA890" t="s">
        <v>74</v>
      </c>
      <c r="BB890">
        <v>31</v>
      </c>
      <c r="BC890" t="s">
        <v>5541</v>
      </c>
      <c r="BD890" t="s">
        <v>74</v>
      </c>
      <c r="BE890" t="s">
        <v>13846</v>
      </c>
      <c r="BF890" t="str">
        <f>HYPERLINK("http://dx.doi.org/10.1051/eas:2007068","http://dx.doi.org/10.1051/eas:2007068")</f>
        <v>http://dx.doi.org/10.1051/eas:2007068</v>
      </c>
      <c r="BG890" t="s">
        <v>74</v>
      </c>
      <c r="BH890" t="s">
        <v>74</v>
      </c>
      <c r="BI890">
        <v>2</v>
      </c>
      <c r="BJ890" t="s">
        <v>175</v>
      </c>
      <c r="BK890" t="s">
        <v>5953</v>
      </c>
      <c r="BL890" t="s">
        <v>175</v>
      </c>
      <c r="BM890" t="s">
        <v>13794</v>
      </c>
      <c r="BN890" t="s">
        <v>74</v>
      </c>
      <c r="BO890" t="s">
        <v>1249</v>
      </c>
      <c r="BP890" t="s">
        <v>74</v>
      </c>
      <c r="BQ890" t="s">
        <v>74</v>
      </c>
      <c r="BR890" t="s">
        <v>101</v>
      </c>
      <c r="BS890" t="s">
        <v>13847</v>
      </c>
      <c r="BT890" t="str">
        <f>HYPERLINK("https%3A%2F%2Fwww.webofscience.com%2Fwos%2Fwoscc%2Ffull-record%2FWOS:000248621600006","View Full Record in Web of Science")</f>
        <v>View Full Record in Web of Science</v>
      </c>
    </row>
    <row r="891" spans="1:72" x14ac:dyDescent="0.15">
      <c r="A891" t="s">
        <v>5932</v>
      </c>
      <c r="B891" t="s">
        <v>13848</v>
      </c>
      <c r="C891" t="s">
        <v>74</v>
      </c>
      <c r="D891" t="s">
        <v>13775</v>
      </c>
      <c r="E891" t="s">
        <v>74</v>
      </c>
      <c r="F891" t="s">
        <v>13849</v>
      </c>
      <c r="G891" t="s">
        <v>74</v>
      </c>
      <c r="H891" t="s">
        <v>74</v>
      </c>
      <c r="I891" t="s">
        <v>13850</v>
      </c>
      <c r="J891" t="s">
        <v>13799</v>
      </c>
      <c r="K891" t="s">
        <v>13800</v>
      </c>
      <c r="L891" t="s">
        <v>74</v>
      </c>
      <c r="M891" t="s">
        <v>78</v>
      </c>
      <c r="N891" t="s">
        <v>5938</v>
      </c>
      <c r="O891" t="s">
        <v>13780</v>
      </c>
      <c r="P891" t="s">
        <v>13781</v>
      </c>
      <c r="Q891" t="s">
        <v>13782</v>
      </c>
      <c r="R891" t="s">
        <v>74</v>
      </c>
      <c r="S891" t="s">
        <v>74</v>
      </c>
      <c r="T891" t="s">
        <v>74</v>
      </c>
      <c r="U891" t="s">
        <v>13851</v>
      </c>
      <c r="V891" t="s">
        <v>13852</v>
      </c>
      <c r="W891" t="s">
        <v>13853</v>
      </c>
      <c r="X891" t="s">
        <v>13854</v>
      </c>
      <c r="Y891" t="s">
        <v>13855</v>
      </c>
      <c r="Z891" t="s">
        <v>13856</v>
      </c>
      <c r="AA891" t="s">
        <v>13857</v>
      </c>
      <c r="AB891" t="s">
        <v>13858</v>
      </c>
      <c r="AC891" t="s">
        <v>13859</v>
      </c>
      <c r="AD891" t="s">
        <v>13860</v>
      </c>
      <c r="AE891" t="s">
        <v>13861</v>
      </c>
      <c r="AF891" t="s">
        <v>74</v>
      </c>
      <c r="AG891">
        <v>9</v>
      </c>
      <c r="AH891">
        <v>3</v>
      </c>
      <c r="AI891">
        <v>3</v>
      </c>
      <c r="AJ891">
        <v>0</v>
      </c>
      <c r="AK891">
        <v>0</v>
      </c>
      <c r="AL891" t="s">
        <v>13787</v>
      </c>
      <c r="AM891" t="s">
        <v>13788</v>
      </c>
      <c r="AN891" t="s">
        <v>13789</v>
      </c>
      <c r="AO891" t="s">
        <v>13790</v>
      </c>
      <c r="AP891" t="s">
        <v>74</v>
      </c>
      <c r="AQ891" t="s">
        <v>13791</v>
      </c>
      <c r="AR891" t="s">
        <v>13792</v>
      </c>
      <c r="AS891" t="s">
        <v>74</v>
      </c>
      <c r="AT891" t="s">
        <v>74</v>
      </c>
      <c r="AU891">
        <v>2007</v>
      </c>
      <c r="AV891">
        <v>25</v>
      </c>
      <c r="AW891" t="s">
        <v>74</v>
      </c>
      <c r="AX891" t="s">
        <v>74</v>
      </c>
      <c r="AY891" t="s">
        <v>74</v>
      </c>
      <c r="AZ891" t="s">
        <v>74</v>
      </c>
      <c r="BA891" t="s">
        <v>74</v>
      </c>
      <c r="BB891">
        <v>35</v>
      </c>
      <c r="BC891" t="s">
        <v>5541</v>
      </c>
      <c r="BD891" t="s">
        <v>74</v>
      </c>
      <c r="BE891" t="s">
        <v>13862</v>
      </c>
      <c r="BF891" t="str">
        <f>HYPERLINK("http://dx.doi.org/10.1051/eas:2007069","http://dx.doi.org/10.1051/eas:2007069")</f>
        <v>http://dx.doi.org/10.1051/eas:2007069</v>
      </c>
      <c r="BG891" t="s">
        <v>74</v>
      </c>
      <c r="BH891" t="s">
        <v>74</v>
      </c>
      <c r="BI891">
        <v>2</v>
      </c>
      <c r="BJ891" t="s">
        <v>175</v>
      </c>
      <c r="BK891" t="s">
        <v>5953</v>
      </c>
      <c r="BL891" t="s">
        <v>175</v>
      </c>
      <c r="BM891" t="s">
        <v>13794</v>
      </c>
      <c r="BN891" t="s">
        <v>74</v>
      </c>
      <c r="BO891" t="s">
        <v>223</v>
      </c>
      <c r="BP891" t="s">
        <v>74</v>
      </c>
      <c r="BQ891" t="s">
        <v>74</v>
      </c>
      <c r="BR891" t="s">
        <v>101</v>
      </c>
      <c r="BS891" t="s">
        <v>13863</v>
      </c>
      <c r="BT891" t="str">
        <f>HYPERLINK("https%3A%2F%2Fwww.webofscience.com%2Fwos%2Fwoscc%2Ffull-record%2FWOS:000248621600007","View Full Record in Web of Science")</f>
        <v>View Full Record in Web of Science</v>
      </c>
    </row>
    <row r="892" spans="1:72" x14ac:dyDescent="0.15">
      <c r="A892" t="s">
        <v>5932</v>
      </c>
      <c r="B892" t="s">
        <v>13864</v>
      </c>
      <c r="C892" t="s">
        <v>74</v>
      </c>
      <c r="D892" t="s">
        <v>13775</v>
      </c>
      <c r="E892" t="s">
        <v>74</v>
      </c>
      <c r="F892" t="s">
        <v>13865</v>
      </c>
      <c r="G892" t="s">
        <v>74</v>
      </c>
      <c r="H892" t="s">
        <v>74</v>
      </c>
      <c r="I892" t="s">
        <v>13866</v>
      </c>
      <c r="J892" t="s">
        <v>13799</v>
      </c>
      <c r="K892" t="s">
        <v>13800</v>
      </c>
      <c r="L892" t="s">
        <v>74</v>
      </c>
      <c r="M892" t="s">
        <v>78</v>
      </c>
      <c r="N892" t="s">
        <v>5938</v>
      </c>
      <c r="O892" t="s">
        <v>13780</v>
      </c>
      <c r="P892" t="s">
        <v>13781</v>
      </c>
      <c r="Q892" t="s">
        <v>13782</v>
      </c>
      <c r="R892" t="s">
        <v>74</v>
      </c>
      <c r="S892" t="s">
        <v>74</v>
      </c>
      <c r="T892" t="s">
        <v>74</v>
      </c>
      <c r="U892" t="s">
        <v>74</v>
      </c>
      <c r="V892" t="s">
        <v>13867</v>
      </c>
      <c r="W892" t="s">
        <v>13868</v>
      </c>
      <c r="X892" t="s">
        <v>13869</v>
      </c>
      <c r="Y892" t="s">
        <v>13870</v>
      </c>
      <c r="Z892" t="s">
        <v>74</v>
      </c>
      <c r="AA892" t="s">
        <v>74</v>
      </c>
      <c r="AB892" t="s">
        <v>74</v>
      </c>
      <c r="AC892" t="s">
        <v>74</v>
      </c>
      <c r="AD892" t="s">
        <v>74</v>
      </c>
      <c r="AE892" t="s">
        <v>74</v>
      </c>
      <c r="AF892" t="s">
        <v>74</v>
      </c>
      <c r="AG892">
        <v>17</v>
      </c>
      <c r="AH892">
        <v>0</v>
      </c>
      <c r="AI892">
        <v>0</v>
      </c>
      <c r="AJ892">
        <v>0</v>
      </c>
      <c r="AK892">
        <v>0</v>
      </c>
      <c r="AL892" t="s">
        <v>13787</v>
      </c>
      <c r="AM892" t="s">
        <v>13788</v>
      </c>
      <c r="AN892" t="s">
        <v>13789</v>
      </c>
      <c r="AO892" t="s">
        <v>13790</v>
      </c>
      <c r="AP892" t="s">
        <v>74</v>
      </c>
      <c r="AQ892" t="s">
        <v>13791</v>
      </c>
      <c r="AR892" t="s">
        <v>13792</v>
      </c>
      <c r="AS892" t="s">
        <v>74</v>
      </c>
      <c r="AT892" t="s">
        <v>74</v>
      </c>
      <c r="AU892">
        <v>2007</v>
      </c>
      <c r="AV892">
        <v>25</v>
      </c>
      <c r="AW892" t="s">
        <v>74</v>
      </c>
      <c r="AX892" t="s">
        <v>74</v>
      </c>
      <c r="AY892" t="s">
        <v>74</v>
      </c>
      <c r="AZ892" t="s">
        <v>74</v>
      </c>
      <c r="BA892" t="s">
        <v>74</v>
      </c>
      <c r="BB892">
        <v>43</v>
      </c>
      <c r="BC892">
        <v>48</v>
      </c>
      <c r="BD892" t="s">
        <v>74</v>
      </c>
      <c r="BE892" t="s">
        <v>13871</v>
      </c>
      <c r="BF892" t="str">
        <f>HYPERLINK("http://dx.doi.org/10.1051/eas:2007070","http://dx.doi.org/10.1051/eas:2007070")</f>
        <v>http://dx.doi.org/10.1051/eas:2007070</v>
      </c>
      <c r="BG892" t="s">
        <v>74</v>
      </c>
      <c r="BH892" t="s">
        <v>74</v>
      </c>
      <c r="BI892">
        <v>6</v>
      </c>
      <c r="BJ892" t="s">
        <v>175</v>
      </c>
      <c r="BK892" t="s">
        <v>5953</v>
      </c>
      <c r="BL892" t="s">
        <v>175</v>
      </c>
      <c r="BM892" t="s">
        <v>13794</v>
      </c>
      <c r="BN892" t="s">
        <v>74</v>
      </c>
      <c r="BO892" t="s">
        <v>74</v>
      </c>
      <c r="BP892" t="s">
        <v>74</v>
      </c>
      <c r="BQ892" t="s">
        <v>74</v>
      </c>
      <c r="BR892" t="s">
        <v>101</v>
      </c>
      <c r="BS892" t="s">
        <v>13872</v>
      </c>
      <c r="BT892" t="str">
        <f>HYPERLINK("https%3A%2F%2Fwww.webofscience.com%2Fwos%2Fwoscc%2Ffull-record%2FWOS:000248621600008","View Full Record in Web of Science")</f>
        <v>View Full Record in Web of Science</v>
      </c>
    </row>
    <row r="893" spans="1:72" x14ac:dyDescent="0.15">
      <c r="A893" t="s">
        <v>5932</v>
      </c>
      <c r="B893" t="s">
        <v>13873</v>
      </c>
      <c r="C893" t="s">
        <v>74</v>
      </c>
      <c r="D893" t="s">
        <v>13775</v>
      </c>
      <c r="E893" t="s">
        <v>74</v>
      </c>
      <c r="F893" t="s">
        <v>13874</v>
      </c>
      <c r="G893" t="s">
        <v>74</v>
      </c>
      <c r="H893" t="s">
        <v>74</v>
      </c>
      <c r="I893" t="s">
        <v>13875</v>
      </c>
      <c r="J893" t="s">
        <v>13799</v>
      </c>
      <c r="K893" t="s">
        <v>13800</v>
      </c>
      <c r="L893" t="s">
        <v>74</v>
      </c>
      <c r="M893" t="s">
        <v>78</v>
      </c>
      <c r="N893" t="s">
        <v>5938</v>
      </c>
      <c r="O893" t="s">
        <v>13780</v>
      </c>
      <c r="P893" t="s">
        <v>13781</v>
      </c>
      <c r="Q893" t="s">
        <v>13782</v>
      </c>
      <c r="R893" t="s">
        <v>74</v>
      </c>
      <c r="S893" t="s">
        <v>74</v>
      </c>
      <c r="T893" t="s">
        <v>74</v>
      </c>
      <c r="U893" t="s">
        <v>13876</v>
      </c>
      <c r="V893" t="s">
        <v>13877</v>
      </c>
      <c r="W893" t="s">
        <v>13878</v>
      </c>
      <c r="X893" t="s">
        <v>13879</v>
      </c>
      <c r="Y893" t="s">
        <v>13880</v>
      </c>
      <c r="Z893" t="s">
        <v>13881</v>
      </c>
      <c r="AA893" t="s">
        <v>13882</v>
      </c>
      <c r="AB893" t="s">
        <v>13883</v>
      </c>
      <c r="AC893" t="s">
        <v>74</v>
      </c>
      <c r="AD893" t="s">
        <v>74</v>
      </c>
      <c r="AE893" t="s">
        <v>74</v>
      </c>
      <c r="AF893" t="s">
        <v>74</v>
      </c>
      <c r="AG893">
        <v>7</v>
      </c>
      <c r="AH893">
        <v>5</v>
      </c>
      <c r="AI893">
        <v>5</v>
      </c>
      <c r="AJ893">
        <v>0</v>
      </c>
      <c r="AK893">
        <v>1</v>
      </c>
      <c r="AL893" t="s">
        <v>13787</v>
      </c>
      <c r="AM893" t="s">
        <v>13788</v>
      </c>
      <c r="AN893" t="s">
        <v>13789</v>
      </c>
      <c r="AO893" t="s">
        <v>13790</v>
      </c>
      <c r="AP893" t="s">
        <v>74</v>
      </c>
      <c r="AQ893" t="s">
        <v>13791</v>
      </c>
      <c r="AR893" t="s">
        <v>13792</v>
      </c>
      <c r="AS893" t="s">
        <v>74</v>
      </c>
      <c r="AT893" t="s">
        <v>74</v>
      </c>
      <c r="AU893">
        <v>2007</v>
      </c>
      <c r="AV893">
        <v>25</v>
      </c>
      <c r="AW893" t="s">
        <v>74</v>
      </c>
      <c r="AX893" t="s">
        <v>74</v>
      </c>
      <c r="AY893" t="s">
        <v>74</v>
      </c>
      <c r="AZ893" t="s">
        <v>74</v>
      </c>
      <c r="BA893" t="s">
        <v>74</v>
      </c>
      <c r="BB893">
        <v>49</v>
      </c>
      <c r="BC893" t="s">
        <v>5541</v>
      </c>
      <c r="BD893" t="s">
        <v>74</v>
      </c>
      <c r="BE893" t="s">
        <v>13884</v>
      </c>
      <c r="BF893" t="str">
        <f>HYPERLINK("http://dx.doi.org/10.1051/eas:2007071","http://dx.doi.org/10.1051/eas:2007071")</f>
        <v>http://dx.doi.org/10.1051/eas:2007071</v>
      </c>
      <c r="BG893" t="s">
        <v>74</v>
      </c>
      <c r="BH893" t="s">
        <v>74</v>
      </c>
      <c r="BI893">
        <v>2</v>
      </c>
      <c r="BJ893" t="s">
        <v>175</v>
      </c>
      <c r="BK893" t="s">
        <v>5953</v>
      </c>
      <c r="BL893" t="s">
        <v>175</v>
      </c>
      <c r="BM893" t="s">
        <v>13794</v>
      </c>
      <c r="BN893" t="s">
        <v>74</v>
      </c>
      <c r="BO893" t="s">
        <v>74</v>
      </c>
      <c r="BP893" t="s">
        <v>74</v>
      </c>
      <c r="BQ893" t="s">
        <v>74</v>
      </c>
      <c r="BR893" t="s">
        <v>101</v>
      </c>
      <c r="BS893" t="s">
        <v>13885</v>
      </c>
      <c r="BT893" t="str">
        <f>HYPERLINK("https%3A%2F%2Fwww.webofscience.com%2Fwos%2Fwoscc%2Ffull-record%2FWOS:000248621600009","View Full Record in Web of Science")</f>
        <v>View Full Record in Web of Science</v>
      </c>
    </row>
    <row r="894" spans="1:72" x14ac:dyDescent="0.15">
      <c r="A894" t="s">
        <v>5932</v>
      </c>
      <c r="B894" t="s">
        <v>13886</v>
      </c>
      <c r="C894" t="s">
        <v>74</v>
      </c>
      <c r="D894" t="s">
        <v>13775</v>
      </c>
      <c r="E894" t="s">
        <v>74</v>
      </c>
      <c r="F894" t="s">
        <v>13887</v>
      </c>
      <c r="G894" t="s">
        <v>74</v>
      </c>
      <c r="H894" t="s">
        <v>74</v>
      </c>
      <c r="I894" t="s">
        <v>13888</v>
      </c>
      <c r="J894" t="s">
        <v>13799</v>
      </c>
      <c r="K894" t="s">
        <v>13800</v>
      </c>
      <c r="L894" t="s">
        <v>74</v>
      </c>
      <c r="M894" t="s">
        <v>78</v>
      </c>
      <c r="N894" t="s">
        <v>5938</v>
      </c>
      <c r="O894" t="s">
        <v>13780</v>
      </c>
      <c r="P894" t="s">
        <v>13781</v>
      </c>
      <c r="Q894" t="s">
        <v>13782</v>
      </c>
      <c r="R894" t="s">
        <v>74</v>
      </c>
      <c r="S894" t="s">
        <v>74</v>
      </c>
      <c r="T894" t="s">
        <v>74</v>
      </c>
      <c r="U894" t="s">
        <v>13889</v>
      </c>
      <c r="V894" t="s">
        <v>13890</v>
      </c>
      <c r="W894" t="s">
        <v>13891</v>
      </c>
      <c r="X894" t="s">
        <v>13892</v>
      </c>
      <c r="Y894" t="s">
        <v>13893</v>
      </c>
      <c r="Z894" t="s">
        <v>13894</v>
      </c>
      <c r="AA894" t="s">
        <v>13895</v>
      </c>
      <c r="AB894" t="s">
        <v>13896</v>
      </c>
      <c r="AC894" t="s">
        <v>13897</v>
      </c>
      <c r="AD894" t="s">
        <v>13898</v>
      </c>
      <c r="AE894" t="s">
        <v>13899</v>
      </c>
      <c r="AF894" t="s">
        <v>74</v>
      </c>
      <c r="AG894">
        <v>8</v>
      </c>
      <c r="AH894">
        <v>2</v>
      </c>
      <c r="AI894">
        <v>2</v>
      </c>
      <c r="AJ894">
        <v>0</v>
      </c>
      <c r="AK894">
        <v>0</v>
      </c>
      <c r="AL894" t="s">
        <v>13787</v>
      </c>
      <c r="AM894" t="s">
        <v>13788</v>
      </c>
      <c r="AN894" t="s">
        <v>13789</v>
      </c>
      <c r="AO894" t="s">
        <v>13790</v>
      </c>
      <c r="AP894" t="s">
        <v>74</v>
      </c>
      <c r="AQ894" t="s">
        <v>13791</v>
      </c>
      <c r="AR894" t="s">
        <v>13792</v>
      </c>
      <c r="AS894" t="s">
        <v>74</v>
      </c>
      <c r="AT894" t="s">
        <v>74</v>
      </c>
      <c r="AU894">
        <v>2007</v>
      </c>
      <c r="AV894">
        <v>25</v>
      </c>
      <c r="AW894" t="s">
        <v>74</v>
      </c>
      <c r="AX894" t="s">
        <v>74</v>
      </c>
      <c r="AY894" t="s">
        <v>74</v>
      </c>
      <c r="AZ894" t="s">
        <v>74</v>
      </c>
      <c r="BA894" t="s">
        <v>74</v>
      </c>
      <c r="BB894">
        <v>57</v>
      </c>
      <c r="BC894" t="s">
        <v>5541</v>
      </c>
      <c r="BD894" t="s">
        <v>74</v>
      </c>
      <c r="BE894" t="s">
        <v>13900</v>
      </c>
      <c r="BF894" t="str">
        <f>HYPERLINK("http://dx.doi.org/10.1051/eas:2007072","http://dx.doi.org/10.1051/eas:2007072")</f>
        <v>http://dx.doi.org/10.1051/eas:2007072</v>
      </c>
      <c r="BG894" t="s">
        <v>74</v>
      </c>
      <c r="BH894" t="s">
        <v>74</v>
      </c>
      <c r="BI894">
        <v>2</v>
      </c>
      <c r="BJ894" t="s">
        <v>175</v>
      </c>
      <c r="BK894" t="s">
        <v>5953</v>
      </c>
      <c r="BL894" t="s">
        <v>175</v>
      </c>
      <c r="BM894" t="s">
        <v>13794</v>
      </c>
      <c r="BN894" t="s">
        <v>74</v>
      </c>
      <c r="BO894" t="s">
        <v>1249</v>
      </c>
      <c r="BP894" t="s">
        <v>74</v>
      </c>
      <c r="BQ894" t="s">
        <v>74</v>
      </c>
      <c r="BR894" t="s">
        <v>101</v>
      </c>
      <c r="BS894" t="s">
        <v>13901</v>
      </c>
      <c r="BT894" t="str">
        <f>HYPERLINK("https%3A%2F%2Fwww.webofscience.com%2Fwos%2Fwoscc%2Ffull-record%2FWOS:000248621600010","View Full Record in Web of Science")</f>
        <v>View Full Record in Web of Science</v>
      </c>
    </row>
    <row r="895" spans="1:72" x14ac:dyDescent="0.15">
      <c r="A895" t="s">
        <v>5932</v>
      </c>
      <c r="B895" t="s">
        <v>13902</v>
      </c>
      <c r="C895" t="s">
        <v>74</v>
      </c>
      <c r="D895" t="s">
        <v>13775</v>
      </c>
      <c r="E895" t="s">
        <v>74</v>
      </c>
      <c r="F895" t="s">
        <v>13903</v>
      </c>
      <c r="G895" t="s">
        <v>74</v>
      </c>
      <c r="H895" t="s">
        <v>74</v>
      </c>
      <c r="I895" t="s">
        <v>13904</v>
      </c>
      <c r="J895" t="s">
        <v>13778</v>
      </c>
      <c r="K895" t="s">
        <v>13779</v>
      </c>
      <c r="L895" t="s">
        <v>74</v>
      </c>
      <c r="M895" t="s">
        <v>78</v>
      </c>
      <c r="N895" t="s">
        <v>5938</v>
      </c>
      <c r="O895" t="s">
        <v>13780</v>
      </c>
      <c r="P895" t="s">
        <v>13781</v>
      </c>
      <c r="Q895" t="s">
        <v>13782</v>
      </c>
      <c r="R895" t="s">
        <v>74</v>
      </c>
      <c r="S895" t="s">
        <v>74</v>
      </c>
      <c r="T895" t="s">
        <v>74</v>
      </c>
      <c r="U895" t="s">
        <v>13905</v>
      </c>
      <c r="V895" t="s">
        <v>13906</v>
      </c>
      <c r="W895" t="s">
        <v>13831</v>
      </c>
      <c r="X895" t="s">
        <v>13820</v>
      </c>
      <c r="Y895" t="s">
        <v>13907</v>
      </c>
      <c r="Z895" t="s">
        <v>74</v>
      </c>
      <c r="AA895" t="s">
        <v>13833</v>
      </c>
      <c r="AB895" t="s">
        <v>13834</v>
      </c>
      <c r="AC895" t="s">
        <v>74</v>
      </c>
      <c r="AD895" t="s">
        <v>74</v>
      </c>
      <c r="AE895" t="s">
        <v>74</v>
      </c>
      <c r="AF895" t="s">
        <v>74</v>
      </c>
      <c r="AG895">
        <v>6</v>
      </c>
      <c r="AH895">
        <v>1</v>
      </c>
      <c r="AI895">
        <v>1</v>
      </c>
      <c r="AJ895">
        <v>0</v>
      </c>
      <c r="AK895">
        <v>0</v>
      </c>
      <c r="AL895" t="s">
        <v>13787</v>
      </c>
      <c r="AM895" t="s">
        <v>13788</v>
      </c>
      <c r="AN895" t="s">
        <v>13789</v>
      </c>
      <c r="AO895" t="s">
        <v>13790</v>
      </c>
      <c r="AP895" t="s">
        <v>74</v>
      </c>
      <c r="AQ895" t="s">
        <v>13791</v>
      </c>
      <c r="AR895" t="s">
        <v>13792</v>
      </c>
      <c r="AS895" t="s">
        <v>74</v>
      </c>
      <c r="AT895" t="s">
        <v>74</v>
      </c>
      <c r="AU895">
        <v>2007</v>
      </c>
      <c r="AV895">
        <v>25</v>
      </c>
      <c r="AW895" t="s">
        <v>74</v>
      </c>
      <c r="AX895" t="s">
        <v>74</v>
      </c>
      <c r="AY895" t="s">
        <v>74</v>
      </c>
      <c r="AZ895" t="s">
        <v>74</v>
      </c>
      <c r="BA895" t="s">
        <v>74</v>
      </c>
      <c r="BB895">
        <v>63</v>
      </c>
      <c r="BC895">
        <v>67</v>
      </c>
      <c r="BD895" t="s">
        <v>74</v>
      </c>
      <c r="BE895" t="s">
        <v>13908</v>
      </c>
      <c r="BF895" t="str">
        <f>HYPERLINK("http://dx.doi.org/10.1051/eas:2007073","http://dx.doi.org/10.1051/eas:2007073")</f>
        <v>http://dx.doi.org/10.1051/eas:2007073</v>
      </c>
      <c r="BG895" t="s">
        <v>74</v>
      </c>
      <c r="BH895" t="s">
        <v>74</v>
      </c>
      <c r="BI895">
        <v>5</v>
      </c>
      <c r="BJ895" t="s">
        <v>175</v>
      </c>
      <c r="BK895" t="s">
        <v>5953</v>
      </c>
      <c r="BL895" t="s">
        <v>175</v>
      </c>
      <c r="BM895" t="s">
        <v>13794</v>
      </c>
      <c r="BN895" t="s">
        <v>74</v>
      </c>
      <c r="BO895" t="s">
        <v>74</v>
      </c>
      <c r="BP895" t="s">
        <v>74</v>
      </c>
      <c r="BQ895" t="s">
        <v>74</v>
      </c>
      <c r="BR895" t="s">
        <v>101</v>
      </c>
      <c r="BS895" t="s">
        <v>13909</v>
      </c>
      <c r="BT895" t="str">
        <f>HYPERLINK("https%3A%2F%2Fwww.webofscience.com%2Fwos%2Fwoscc%2Ffull-record%2FWOS:000248621600011","View Full Record in Web of Science")</f>
        <v>View Full Record in Web of Science</v>
      </c>
    </row>
    <row r="896" spans="1:72" x14ac:dyDescent="0.15">
      <c r="A896" t="s">
        <v>5932</v>
      </c>
      <c r="B896" t="s">
        <v>13910</v>
      </c>
      <c r="C896" t="s">
        <v>74</v>
      </c>
      <c r="D896" t="s">
        <v>13775</v>
      </c>
      <c r="E896" t="s">
        <v>74</v>
      </c>
      <c r="F896" t="s">
        <v>13911</v>
      </c>
      <c r="G896" t="s">
        <v>74</v>
      </c>
      <c r="H896" t="s">
        <v>74</v>
      </c>
      <c r="I896" t="s">
        <v>13912</v>
      </c>
      <c r="J896" t="s">
        <v>13799</v>
      </c>
      <c r="K896" t="s">
        <v>13800</v>
      </c>
      <c r="L896" t="s">
        <v>74</v>
      </c>
      <c r="M896" t="s">
        <v>78</v>
      </c>
      <c r="N896" t="s">
        <v>5938</v>
      </c>
      <c r="O896" t="s">
        <v>13780</v>
      </c>
      <c r="P896" t="s">
        <v>13781</v>
      </c>
      <c r="Q896" t="s">
        <v>13782</v>
      </c>
      <c r="R896" t="s">
        <v>74</v>
      </c>
      <c r="S896" t="s">
        <v>74</v>
      </c>
      <c r="T896" t="s">
        <v>74</v>
      </c>
      <c r="U896" t="s">
        <v>13913</v>
      </c>
      <c r="V896" t="s">
        <v>13914</v>
      </c>
      <c r="W896" t="s">
        <v>13915</v>
      </c>
      <c r="X896" t="s">
        <v>13820</v>
      </c>
      <c r="Y896" t="s">
        <v>13916</v>
      </c>
      <c r="Z896" t="s">
        <v>74</v>
      </c>
      <c r="AA896" t="s">
        <v>13917</v>
      </c>
      <c r="AB896" t="s">
        <v>13918</v>
      </c>
      <c r="AC896" t="s">
        <v>74</v>
      </c>
      <c r="AD896" t="s">
        <v>74</v>
      </c>
      <c r="AE896" t="s">
        <v>74</v>
      </c>
      <c r="AF896" t="s">
        <v>74</v>
      </c>
      <c r="AG896">
        <v>5</v>
      </c>
      <c r="AH896">
        <v>0</v>
      </c>
      <c r="AI896">
        <v>0</v>
      </c>
      <c r="AJ896">
        <v>0</v>
      </c>
      <c r="AK896">
        <v>1</v>
      </c>
      <c r="AL896" t="s">
        <v>13787</v>
      </c>
      <c r="AM896" t="s">
        <v>13788</v>
      </c>
      <c r="AN896" t="s">
        <v>13789</v>
      </c>
      <c r="AO896" t="s">
        <v>13790</v>
      </c>
      <c r="AP896" t="s">
        <v>74</v>
      </c>
      <c r="AQ896" t="s">
        <v>13791</v>
      </c>
      <c r="AR896" t="s">
        <v>13792</v>
      </c>
      <c r="AS896" t="s">
        <v>74</v>
      </c>
      <c r="AT896" t="s">
        <v>74</v>
      </c>
      <c r="AU896">
        <v>2007</v>
      </c>
      <c r="AV896">
        <v>25</v>
      </c>
      <c r="AW896" t="s">
        <v>74</v>
      </c>
      <c r="AX896" t="s">
        <v>74</v>
      </c>
      <c r="AY896" t="s">
        <v>74</v>
      </c>
      <c r="AZ896" t="s">
        <v>74</v>
      </c>
      <c r="BA896" t="s">
        <v>74</v>
      </c>
      <c r="BB896">
        <v>69</v>
      </c>
      <c r="BC896">
        <v>72</v>
      </c>
      <c r="BD896" t="s">
        <v>74</v>
      </c>
      <c r="BE896" t="s">
        <v>13919</v>
      </c>
      <c r="BF896" t="str">
        <f>HYPERLINK("http://dx.doi.org/10.1051/eas:2007074","http://dx.doi.org/10.1051/eas:2007074")</f>
        <v>http://dx.doi.org/10.1051/eas:2007074</v>
      </c>
      <c r="BG896" t="s">
        <v>74</v>
      </c>
      <c r="BH896" t="s">
        <v>74</v>
      </c>
      <c r="BI896">
        <v>4</v>
      </c>
      <c r="BJ896" t="s">
        <v>175</v>
      </c>
      <c r="BK896" t="s">
        <v>5953</v>
      </c>
      <c r="BL896" t="s">
        <v>175</v>
      </c>
      <c r="BM896" t="s">
        <v>13794</v>
      </c>
      <c r="BN896" t="s">
        <v>74</v>
      </c>
      <c r="BO896" t="s">
        <v>74</v>
      </c>
      <c r="BP896" t="s">
        <v>74</v>
      </c>
      <c r="BQ896" t="s">
        <v>74</v>
      </c>
      <c r="BR896" t="s">
        <v>101</v>
      </c>
      <c r="BS896" t="s">
        <v>13920</v>
      </c>
      <c r="BT896" t="str">
        <f>HYPERLINK("https%3A%2F%2Fwww.webofscience.com%2Fwos%2Fwoscc%2Ffull-record%2FWOS:000248621600012","View Full Record in Web of Science")</f>
        <v>View Full Record in Web of Science</v>
      </c>
    </row>
    <row r="897" spans="1:72" x14ac:dyDescent="0.15">
      <c r="A897" t="s">
        <v>5932</v>
      </c>
      <c r="B897" t="s">
        <v>13921</v>
      </c>
      <c r="C897" t="s">
        <v>74</v>
      </c>
      <c r="D897" t="s">
        <v>13775</v>
      </c>
      <c r="E897" t="s">
        <v>74</v>
      </c>
      <c r="F897" t="s">
        <v>13922</v>
      </c>
      <c r="G897" t="s">
        <v>74</v>
      </c>
      <c r="H897" t="s">
        <v>74</v>
      </c>
      <c r="I897" t="s">
        <v>13923</v>
      </c>
      <c r="J897" t="s">
        <v>13799</v>
      </c>
      <c r="K897" t="s">
        <v>13800</v>
      </c>
      <c r="L897" t="s">
        <v>74</v>
      </c>
      <c r="M897" t="s">
        <v>78</v>
      </c>
      <c r="N897" t="s">
        <v>5938</v>
      </c>
      <c r="O897" t="s">
        <v>13780</v>
      </c>
      <c r="P897" t="s">
        <v>13781</v>
      </c>
      <c r="Q897" t="s">
        <v>13782</v>
      </c>
      <c r="R897" t="s">
        <v>74</v>
      </c>
      <c r="S897" t="s">
        <v>74</v>
      </c>
      <c r="T897" t="s">
        <v>74</v>
      </c>
      <c r="U897" t="s">
        <v>74</v>
      </c>
      <c r="V897" t="s">
        <v>13924</v>
      </c>
      <c r="W897" t="s">
        <v>13925</v>
      </c>
      <c r="X897" t="s">
        <v>13820</v>
      </c>
      <c r="Y897" t="s">
        <v>13926</v>
      </c>
      <c r="Z897" t="s">
        <v>74</v>
      </c>
      <c r="AA897" t="s">
        <v>74</v>
      </c>
      <c r="AB897" t="s">
        <v>13927</v>
      </c>
      <c r="AC897" t="s">
        <v>74</v>
      </c>
      <c r="AD897" t="s">
        <v>74</v>
      </c>
      <c r="AE897" t="s">
        <v>74</v>
      </c>
      <c r="AF897" t="s">
        <v>74</v>
      </c>
      <c r="AG897">
        <v>4</v>
      </c>
      <c r="AH897">
        <v>3</v>
      </c>
      <c r="AI897">
        <v>3</v>
      </c>
      <c r="AJ897">
        <v>0</v>
      </c>
      <c r="AK897">
        <v>1</v>
      </c>
      <c r="AL897" t="s">
        <v>13787</v>
      </c>
      <c r="AM897" t="s">
        <v>13788</v>
      </c>
      <c r="AN897" t="s">
        <v>13789</v>
      </c>
      <c r="AO897" t="s">
        <v>13790</v>
      </c>
      <c r="AP897" t="s">
        <v>74</v>
      </c>
      <c r="AQ897" t="s">
        <v>13791</v>
      </c>
      <c r="AR897" t="s">
        <v>13792</v>
      </c>
      <c r="AS897" t="s">
        <v>74</v>
      </c>
      <c r="AT897" t="s">
        <v>74</v>
      </c>
      <c r="AU897">
        <v>2007</v>
      </c>
      <c r="AV897">
        <v>25</v>
      </c>
      <c r="AW897" t="s">
        <v>74</v>
      </c>
      <c r="AX897" t="s">
        <v>74</v>
      </c>
      <c r="AY897" t="s">
        <v>74</v>
      </c>
      <c r="AZ897" t="s">
        <v>74</v>
      </c>
      <c r="BA897" t="s">
        <v>74</v>
      </c>
      <c r="BB897">
        <v>73</v>
      </c>
      <c r="BC897">
        <v>75</v>
      </c>
      <c r="BD897" t="s">
        <v>74</v>
      </c>
      <c r="BE897" t="s">
        <v>13928</v>
      </c>
      <c r="BF897" t="str">
        <f>HYPERLINK("http://dx.doi.org/10.1051/eas:2007075","http://dx.doi.org/10.1051/eas:2007075")</f>
        <v>http://dx.doi.org/10.1051/eas:2007075</v>
      </c>
      <c r="BG897" t="s">
        <v>74</v>
      </c>
      <c r="BH897" t="s">
        <v>74</v>
      </c>
      <c r="BI897">
        <v>3</v>
      </c>
      <c r="BJ897" t="s">
        <v>175</v>
      </c>
      <c r="BK897" t="s">
        <v>5953</v>
      </c>
      <c r="BL897" t="s">
        <v>175</v>
      </c>
      <c r="BM897" t="s">
        <v>13794</v>
      </c>
      <c r="BN897" t="s">
        <v>74</v>
      </c>
      <c r="BO897" t="s">
        <v>74</v>
      </c>
      <c r="BP897" t="s">
        <v>74</v>
      </c>
      <c r="BQ897" t="s">
        <v>74</v>
      </c>
      <c r="BR897" t="s">
        <v>101</v>
      </c>
      <c r="BS897" t="s">
        <v>13929</v>
      </c>
      <c r="BT897" t="str">
        <f>HYPERLINK("https%3A%2F%2Fwww.webofscience.com%2Fwos%2Fwoscc%2Ffull-record%2FWOS:000248621600013","View Full Record in Web of Science")</f>
        <v>View Full Record in Web of Science</v>
      </c>
    </row>
    <row r="898" spans="1:72" x14ac:dyDescent="0.15">
      <c r="A898" t="s">
        <v>5932</v>
      </c>
      <c r="B898" t="s">
        <v>13930</v>
      </c>
      <c r="C898" t="s">
        <v>74</v>
      </c>
      <c r="D898" t="s">
        <v>13775</v>
      </c>
      <c r="E898" t="s">
        <v>74</v>
      </c>
      <c r="F898" t="s">
        <v>13931</v>
      </c>
      <c r="G898" t="s">
        <v>74</v>
      </c>
      <c r="H898" t="s">
        <v>74</v>
      </c>
      <c r="I898" t="s">
        <v>13932</v>
      </c>
      <c r="J898" t="s">
        <v>13778</v>
      </c>
      <c r="K898" t="s">
        <v>13779</v>
      </c>
      <c r="L898" t="s">
        <v>74</v>
      </c>
      <c r="M898" t="s">
        <v>78</v>
      </c>
      <c r="N898" t="s">
        <v>5938</v>
      </c>
      <c r="O898" t="s">
        <v>13780</v>
      </c>
      <c r="P898" t="s">
        <v>13781</v>
      </c>
      <c r="Q898" t="s">
        <v>13782</v>
      </c>
      <c r="R898" t="s">
        <v>74</v>
      </c>
      <c r="S898" t="s">
        <v>74</v>
      </c>
      <c r="T898" t="s">
        <v>74</v>
      </c>
      <c r="U898" t="s">
        <v>74</v>
      </c>
      <c r="V898" t="s">
        <v>13933</v>
      </c>
      <c r="W898" t="s">
        <v>13934</v>
      </c>
      <c r="X898" t="s">
        <v>13935</v>
      </c>
      <c r="Y898" t="s">
        <v>13936</v>
      </c>
      <c r="Z898" t="s">
        <v>74</v>
      </c>
      <c r="AA898" t="s">
        <v>74</v>
      </c>
      <c r="AB898" t="s">
        <v>74</v>
      </c>
      <c r="AC898" t="s">
        <v>74</v>
      </c>
      <c r="AD898" t="s">
        <v>74</v>
      </c>
      <c r="AE898" t="s">
        <v>74</v>
      </c>
      <c r="AF898" t="s">
        <v>74</v>
      </c>
      <c r="AG898">
        <v>0</v>
      </c>
      <c r="AH898">
        <v>12</v>
      </c>
      <c r="AI898">
        <v>12</v>
      </c>
      <c r="AJ898">
        <v>0</v>
      </c>
      <c r="AK898">
        <v>2</v>
      </c>
      <c r="AL898" t="s">
        <v>13787</v>
      </c>
      <c r="AM898" t="s">
        <v>13788</v>
      </c>
      <c r="AN898" t="s">
        <v>13789</v>
      </c>
      <c r="AO898" t="s">
        <v>13790</v>
      </c>
      <c r="AP898" t="s">
        <v>74</v>
      </c>
      <c r="AQ898" t="s">
        <v>13791</v>
      </c>
      <c r="AR898" t="s">
        <v>13792</v>
      </c>
      <c r="AS898" t="s">
        <v>74</v>
      </c>
      <c r="AT898" t="s">
        <v>74</v>
      </c>
      <c r="AU898">
        <v>2007</v>
      </c>
      <c r="AV898">
        <v>25</v>
      </c>
      <c r="AW898" t="s">
        <v>74</v>
      </c>
      <c r="AX898" t="s">
        <v>74</v>
      </c>
      <c r="AY898" t="s">
        <v>74</v>
      </c>
      <c r="AZ898" t="s">
        <v>74</v>
      </c>
      <c r="BA898" t="s">
        <v>74</v>
      </c>
      <c r="BB898">
        <v>77</v>
      </c>
      <c r="BC898">
        <v>80</v>
      </c>
      <c r="BD898" t="s">
        <v>74</v>
      </c>
      <c r="BE898" t="s">
        <v>13937</v>
      </c>
      <c r="BF898" t="str">
        <f>HYPERLINK("http://dx.doi.org/10.1051/eas:2007076","http://dx.doi.org/10.1051/eas:2007076")</f>
        <v>http://dx.doi.org/10.1051/eas:2007076</v>
      </c>
      <c r="BG898" t="s">
        <v>74</v>
      </c>
      <c r="BH898" t="s">
        <v>74</v>
      </c>
      <c r="BI898">
        <v>4</v>
      </c>
      <c r="BJ898" t="s">
        <v>175</v>
      </c>
      <c r="BK898" t="s">
        <v>5953</v>
      </c>
      <c r="BL898" t="s">
        <v>175</v>
      </c>
      <c r="BM898" t="s">
        <v>13794</v>
      </c>
      <c r="BN898" t="s">
        <v>74</v>
      </c>
      <c r="BO898" t="s">
        <v>74</v>
      </c>
      <c r="BP898" t="s">
        <v>74</v>
      </c>
      <c r="BQ898" t="s">
        <v>74</v>
      </c>
      <c r="BR898" t="s">
        <v>101</v>
      </c>
      <c r="BS898" t="s">
        <v>13938</v>
      </c>
      <c r="BT898" t="str">
        <f>HYPERLINK("https%3A%2F%2Fwww.webofscience.com%2Fwos%2Fwoscc%2Ffull-record%2FWOS:000248621600014","View Full Record in Web of Science")</f>
        <v>View Full Record in Web of Science</v>
      </c>
    </row>
    <row r="899" spans="1:72" x14ac:dyDescent="0.15">
      <c r="A899" t="s">
        <v>5932</v>
      </c>
      <c r="B899" t="s">
        <v>13939</v>
      </c>
      <c r="C899" t="s">
        <v>74</v>
      </c>
      <c r="D899" t="s">
        <v>13775</v>
      </c>
      <c r="E899" t="s">
        <v>74</v>
      </c>
      <c r="F899" t="s">
        <v>13940</v>
      </c>
      <c r="G899" t="s">
        <v>74</v>
      </c>
      <c r="H899" t="s">
        <v>74</v>
      </c>
      <c r="I899" t="s">
        <v>13941</v>
      </c>
      <c r="J899" t="s">
        <v>13799</v>
      </c>
      <c r="K899" t="s">
        <v>13800</v>
      </c>
      <c r="L899" t="s">
        <v>74</v>
      </c>
      <c r="M899" t="s">
        <v>78</v>
      </c>
      <c r="N899" t="s">
        <v>5938</v>
      </c>
      <c r="O899" t="s">
        <v>13780</v>
      </c>
      <c r="P899" t="s">
        <v>13781</v>
      </c>
      <c r="Q899" t="s">
        <v>13782</v>
      </c>
      <c r="R899" t="s">
        <v>74</v>
      </c>
      <c r="S899" t="s">
        <v>74</v>
      </c>
      <c r="T899" t="s">
        <v>74</v>
      </c>
      <c r="U899" t="s">
        <v>13942</v>
      </c>
      <c r="V899" t="s">
        <v>13943</v>
      </c>
      <c r="W899" t="s">
        <v>13944</v>
      </c>
      <c r="X899" t="s">
        <v>13820</v>
      </c>
      <c r="Y899" t="s">
        <v>13945</v>
      </c>
      <c r="Z899" t="s">
        <v>74</v>
      </c>
      <c r="AA899" t="s">
        <v>74</v>
      </c>
      <c r="AB899" t="s">
        <v>74</v>
      </c>
      <c r="AC899" t="s">
        <v>74</v>
      </c>
      <c r="AD899" t="s">
        <v>74</v>
      </c>
      <c r="AE899" t="s">
        <v>74</v>
      </c>
      <c r="AF899" t="s">
        <v>74</v>
      </c>
      <c r="AG899">
        <v>13</v>
      </c>
      <c r="AH899">
        <v>2</v>
      </c>
      <c r="AI899">
        <v>2</v>
      </c>
      <c r="AJ899">
        <v>0</v>
      </c>
      <c r="AK899">
        <v>0</v>
      </c>
      <c r="AL899" t="s">
        <v>13787</v>
      </c>
      <c r="AM899" t="s">
        <v>13788</v>
      </c>
      <c r="AN899" t="s">
        <v>13789</v>
      </c>
      <c r="AO899" t="s">
        <v>13790</v>
      </c>
      <c r="AP899" t="s">
        <v>74</v>
      </c>
      <c r="AQ899" t="s">
        <v>13791</v>
      </c>
      <c r="AR899" t="s">
        <v>13792</v>
      </c>
      <c r="AS899" t="s">
        <v>74</v>
      </c>
      <c r="AT899" t="s">
        <v>74</v>
      </c>
      <c r="AU899">
        <v>2007</v>
      </c>
      <c r="AV899">
        <v>25</v>
      </c>
      <c r="AW899" t="s">
        <v>74</v>
      </c>
      <c r="AX899" t="s">
        <v>74</v>
      </c>
      <c r="AY899" t="s">
        <v>74</v>
      </c>
      <c r="AZ899" t="s">
        <v>74</v>
      </c>
      <c r="BA899" t="s">
        <v>74</v>
      </c>
      <c r="BB899">
        <v>81</v>
      </c>
      <c r="BC899">
        <v>84</v>
      </c>
      <c r="BD899" t="s">
        <v>74</v>
      </c>
      <c r="BE899" t="s">
        <v>13946</v>
      </c>
      <c r="BF899" t="str">
        <f>HYPERLINK("http://dx.doi.org/10.1051/eas:2007077","http://dx.doi.org/10.1051/eas:2007077")</f>
        <v>http://dx.doi.org/10.1051/eas:2007077</v>
      </c>
      <c r="BG899" t="s">
        <v>74</v>
      </c>
      <c r="BH899" t="s">
        <v>74</v>
      </c>
      <c r="BI899">
        <v>4</v>
      </c>
      <c r="BJ899" t="s">
        <v>175</v>
      </c>
      <c r="BK899" t="s">
        <v>5953</v>
      </c>
      <c r="BL899" t="s">
        <v>175</v>
      </c>
      <c r="BM899" t="s">
        <v>13794</v>
      </c>
      <c r="BN899" t="s">
        <v>74</v>
      </c>
      <c r="BO899" t="s">
        <v>74</v>
      </c>
      <c r="BP899" t="s">
        <v>74</v>
      </c>
      <c r="BQ899" t="s">
        <v>74</v>
      </c>
      <c r="BR899" t="s">
        <v>101</v>
      </c>
      <c r="BS899" t="s">
        <v>13947</v>
      </c>
      <c r="BT899" t="str">
        <f>HYPERLINK("https%3A%2F%2Fwww.webofscience.com%2Fwos%2Fwoscc%2Ffull-record%2FWOS:000248621600015","View Full Record in Web of Science")</f>
        <v>View Full Record in Web of Science</v>
      </c>
    </row>
    <row r="900" spans="1:72" x14ac:dyDescent="0.15">
      <c r="A900" t="s">
        <v>5932</v>
      </c>
      <c r="B900" t="s">
        <v>13948</v>
      </c>
      <c r="C900" t="s">
        <v>74</v>
      </c>
      <c r="D900" t="s">
        <v>13775</v>
      </c>
      <c r="E900" t="s">
        <v>74</v>
      </c>
      <c r="F900" t="s">
        <v>13949</v>
      </c>
      <c r="G900" t="s">
        <v>74</v>
      </c>
      <c r="H900" t="s">
        <v>74</v>
      </c>
      <c r="I900" t="s">
        <v>13950</v>
      </c>
      <c r="J900" t="s">
        <v>13778</v>
      </c>
      <c r="K900" t="s">
        <v>13779</v>
      </c>
      <c r="L900" t="s">
        <v>74</v>
      </c>
      <c r="M900" t="s">
        <v>78</v>
      </c>
      <c r="N900" t="s">
        <v>5938</v>
      </c>
      <c r="O900" t="s">
        <v>13780</v>
      </c>
      <c r="P900" t="s">
        <v>13781</v>
      </c>
      <c r="Q900" t="s">
        <v>13782</v>
      </c>
      <c r="R900" t="s">
        <v>74</v>
      </c>
      <c r="S900" t="s">
        <v>74</v>
      </c>
      <c r="T900" t="s">
        <v>74</v>
      </c>
      <c r="U900" t="s">
        <v>13951</v>
      </c>
      <c r="V900" t="s">
        <v>13952</v>
      </c>
      <c r="W900" t="s">
        <v>13953</v>
      </c>
      <c r="X900" t="s">
        <v>13954</v>
      </c>
      <c r="Y900" t="s">
        <v>13955</v>
      </c>
      <c r="Z900" t="s">
        <v>74</v>
      </c>
      <c r="AA900" t="s">
        <v>74</v>
      </c>
      <c r="AB900" t="s">
        <v>74</v>
      </c>
      <c r="AC900" t="s">
        <v>74</v>
      </c>
      <c r="AD900" t="s">
        <v>74</v>
      </c>
      <c r="AE900" t="s">
        <v>74</v>
      </c>
      <c r="AF900" t="s">
        <v>74</v>
      </c>
      <c r="AG900">
        <v>18</v>
      </c>
      <c r="AH900">
        <v>0</v>
      </c>
      <c r="AI900">
        <v>0</v>
      </c>
      <c r="AJ900">
        <v>0</v>
      </c>
      <c r="AK900">
        <v>0</v>
      </c>
      <c r="AL900" t="s">
        <v>13787</v>
      </c>
      <c r="AM900" t="s">
        <v>13788</v>
      </c>
      <c r="AN900" t="s">
        <v>13789</v>
      </c>
      <c r="AO900" t="s">
        <v>13790</v>
      </c>
      <c r="AP900" t="s">
        <v>74</v>
      </c>
      <c r="AQ900" t="s">
        <v>13791</v>
      </c>
      <c r="AR900" t="s">
        <v>13792</v>
      </c>
      <c r="AS900" t="s">
        <v>74</v>
      </c>
      <c r="AT900" t="s">
        <v>74</v>
      </c>
      <c r="AU900">
        <v>2007</v>
      </c>
      <c r="AV900">
        <v>25</v>
      </c>
      <c r="AW900" t="s">
        <v>74</v>
      </c>
      <c r="AX900" t="s">
        <v>74</v>
      </c>
      <c r="AY900" t="s">
        <v>74</v>
      </c>
      <c r="AZ900" t="s">
        <v>74</v>
      </c>
      <c r="BA900" t="s">
        <v>74</v>
      </c>
      <c r="BB900">
        <v>87</v>
      </c>
      <c r="BC900">
        <v>94</v>
      </c>
      <c r="BD900" t="s">
        <v>74</v>
      </c>
      <c r="BE900" t="s">
        <v>13956</v>
      </c>
      <c r="BF900" t="str">
        <f>HYPERLINK("http://dx.doi.org/10.1051/eas:2007078","http://dx.doi.org/10.1051/eas:2007078")</f>
        <v>http://dx.doi.org/10.1051/eas:2007078</v>
      </c>
      <c r="BG900" t="s">
        <v>74</v>
      </c>
      <c r="BH900" t="s">
        <v>74</v>
      </c>
      <c r="BI900">
        <v>8</v>
      </c>
      <c r="BJ900" t="s">
        <v>175</v>
      </c>
      <c r="BK900" t="s">
        <v>5953</v>
      </c>
      <c r="BL900" t="s">
        <v>175</v>
      </c>
      <c r="BM900" t="s">
        <v>13794</v>
      </c>
      <c r="BN900" t="s">
        <v>74</v>
      </c>
      <c r="BO900" t="s">
        <v>74</v>
      </c>
      <c r="BP900" t="s">
        <v>74</v>
      </c>
      <c r="BQ900" t="s">
        <v>74</v>
      </c>
      <c r="BR900" t="s">
        <v>101</v>
      </c>
      <c r="BS900" t="s">
        <v>13957</v>
      </c>
      <c r="BT900" t="str">
        <f>HYPERLINK("https%3A%2F%2Fwww.webofscience.com%2Fwos%2Fwoscc%2Ffull-record%2FWOS:000248621600016","View Full Record in Web of Science")</f>
        <v>View Full Record in Web of Science</v>
      </c>
    </row>
    <row r="901" spans="1:72" x14ac:dyDescent="0.15">
      <c r="A901" t="s">
        <v>5932</v>
      </c>
      <c r="B901" t="s">
        <v>13958</v>
      </c>
      <c r="C901" t="s">
        <v>74</v>
      </c>
      <c r="D901" t="s">
        <v>13775</v>
      </c>
      <c r="E901" t="s">
        <v>74</v>
      </c>
      <c r="F901" t="s">
        <v>13959</v>
      </c>
      <c r="G901" t="s">
        <v>74</v>
      </c>
      <c r="H901" t="s">
        <v>74</v>
      </c>
      <c r="I901" t="s">
        <v>13960</v>
      </c>
      <c r="J901" t="s">
        <v>13778</v>
      </c>
      <c r="K901" t="s">
        <v>13779</v>
      </c>
      <c r="L901" t="s">
        <v>74</v>
      </c>
      <c r="M901" t="s">
        <v>78</v>
      </c>
      <c r="N901" t="s">
        <v>5938</v>
      </c>
      <c r="O901" t="s">
        <v>13780</v>
      </c>
      <c r="P901" t="s">
        <v>13781</v>
      </c>
      <c r="Q901" t="s">
        <v>13782</v>
      </c>
      <c r="R901" t="s">
        <v>74</v>
      </c>
      <c r="S901" t="s">
        <v>74</v>
      </c>
      <c r="T901" t="s">
        <v>74</v>
      </c>
      <c r="U901" t="s">
        <v>13961</v>
      </c>
      <c r="V901" t="s">
        <v>13962</v>
      </c>
      <c r="W901" t="s">
        <v>13963</v>
      </c>
      <c r="X901" t="s">
        <v>13964</v>
      </c>
      <c r="Y901" t="s">
        <v>13965</v>
      </c>
      <c r="Z901" t="s">
        <v>74</v>
      </c>
      <c r="AA901" t="s">
        <v>74</v>
      </c>
      <c r="AB901" t="s">
        <v>13966</v>
      </c>
      <c r="AC901" t="s">
        <v>74</v>
      </c>
      <c r="AD901" t="s">
        <v>74</v>
      </c>
      <c r="AE901" t="s">
        <v>74</v>
      </c>
      <c r="AF901" t="s">
        <v>74</v>
      </c>
      <c r="AG901">
        <v>10</v>
      </c>
      <c r="AH901">
        <v>1</v>
      </c>
      <c r="AI901">
        <v>1</v>
      </c>
      <c r="AJ901">
        <v>0</v>
      </c>
      <c r="AK901">
        <v>0</v>
      </c>
      <c r="AL901" t="s">
        <v>13787</v>
      </c>
      <c r="AM901" t="s">
        <v>13788</v>
      </c>
      <c r="AN901" t="s">
        <v>13789</v>
      </c>
      <c r="AO901" t="s">
        <v>13790</v>
      </c>
      <c r="AP901" t="s">
        <v>74</v>
      </c>
      <c r="AQ901" t="s">
        <v>13791</v>
      </c>
      <c r="AR901" t="s">
        <v>13792</v>
      </c>
      <c r="AS901" t="s">
        <v>74</v>
      </c>
      <c r="AT901" t="s">
        <v>74</v>
      </c>
      <c r="AU901">
        <v>2007</v>
      </c>
      <c r="AV901">
        <v>25</v>
      </c>
      <c r="AW901" t="s">
        <v>74</v>
      </c>
      <c r="AX901" t="s">
        <v>74</v>
      </c>
      <c r="AY901" t="s">
        <v>74</v>
      </c>
      <c r="AZ901" t="s">
        <v>74</v>
      </c>
      <c r="BA901" t="s">
        <v>74</v>
      </c>
      <c r="BB901">
        <v>95</v>
      </c>
      <c r="BC901">
        <v>101</v>
      </c>
      <c r="BD901" t="s">
        <v>74</v>
      </c>
      <c r="BE901" t="s">
        <v>13967</v>
      </c>
      <c r="BF901" t="str">
        <f>HYPERLINK("http://dx.doi.org/10.1051/eas:2007079","http://dx.doi.org/10.1051/eas:2007079")</f>
        <v>http://dx.doi.org/10.1051/eas:2007079</v>
      </c>
      <c r="BG901" t="s">
        <v>74</v>
      </c>
      <c r="BH901" t="s">
        <v>74</v>
      </c>
      <c r="BI901">
        <v>7</v>
      </c>
      <c r="BJ901" t="s">
        <v>175</v>
      </c>
      <c r="BK901" t="s">
        <v>5953</v>
      </c>
      <c r="BL901" t="s">
        <v>175</v>
      </c>
      <c r="BM901" t="s">
        <v>13794</v>
      </c>
      <c r="BN901" t="s">
        <v>74</v>
      </c>
      <c r="BO901" t="s">
        <v>74</v>
      </c>
      <c r="BP901" t="s">
        <v>74</v>
      </c>
      <c r="BQ901" t="s">
        <v>74</v>
      </c>
      <c r="BR901" t="s">
        <v>101</v>
      </c>
      <c r="BS901" t="s">
        <v>13968</v>
      </c>
      <c r="BT901" t="str">
        <f>HYPERLINK("https%3A%2F%2Fwww.webofscience.com%2Fwos%2Fwoscc%2Ffull-record%2FWOS:000248621600017","View Full Record in Web of Science")</f>
        <v>View Full Record in Web of Science</v>
      </c>
    </row>
    <row r="902" spans="1:72" x14ac:dyDescent="0.15">
      <c r="A902" t="s">
        <v>5932</v>
      </c>
      <c r="B902" t="s">
        <v>13969</v>
      </c>
      <c r="C902" t="s">
        <v>74</v>
      </c>
      <c r="D902" t="s">
        <v>13775</v>
      </c>
      <c r="E902" t="s">
        <v>74</v>
      </c>
      <c r="F902" t="s">
        <v>13970</v>
      </c>
      <c r="G902" t="s">
        <v>74</v>
      </c>
      <c r="H902" t="s">
        <v>74</v>
      </c>
      <c r="I902" t="s">
        <v>13971</v>
      </c>
      <c r="J902" t="s">
        <v>13778</v>
      </c>
      <c r="K902" t="s">
        <v>13779</v>
      </c>
      <c r="L902" t="s">
        <v>74</v>
      </c>
      <c r="M902" t="s">
        <v>78</v>
      </c>
      <c r="N902" t="s">
        <v>5938</v>
      </c>
      <c r="O902" t="s">
        <v>13780</v>
      </c>
      <c r="P902" t="s">
        <v>13781</v>
      </c>
      <c r="Q902" t="s">
        <v>13782</v>
      </c>
      <c r="R902" t="s">
        <v>74</v>
      </c>
      <c r="S902" t="s">
        <v>74</v>
      </c>
      <c r="T902" t="s">
        <v>74</v>
      </c>
      <c r="U902" t="s">
        <v>13972</v>
      </c>
      <c r="V902" t="s">
        <v>13973</v>
      </c>
      <c r="W902" t="s">
        <v>13974</v>
      </c>
      <c r="X902" t="s">
        <v>13975</v>
      </c>
      <c r="Y902" t="s">
        <v>13976</v>
      </c>
      <c r="Z902" t="s">
        <v>74</v>
      </c>
      <c r="AA902" t="s">
        <v>74</v>
      </c>
      <c r="AB902" t="s">
        <v>13977</v>
      </c>
      <c r="AC902" t="s">
        <v>74</v>
      </c>
      <c r="AD902" t="s">
        <v>74</v>
      </c>
      <c r="AE902" t="s">
        <v>74</v>
      </c>
      <c r="AF902" t="s">
        <v>74</v>
      </c>
      <c r="AG902">
        <v>14</v>
      </c>
      <c r="AH902">
        <v>0</v>
      </c>
      <c r="AI902">
        <v>0</v>
      </c>
      <c r="AJ902">
        <v>0</v>
      </c>
      <c r="AK902">
        <v>0</v>
      </c>
      <c r="AL902" t="s">
        <v>13787</v>
      </c>
      <c r="AM902" t="s">
        <v>13788</v>
      </c>
      <c r="AN902" t="s">
        <v>13789</v>
      </c>
      <c r="AO902" t="s">
        <v>13790</v>
      </c>
      <c r="AP902" t="s">
        <v>74</v>
      </c>
      <c r="AQ902" t="s">
        <v>13791</v>
      </c>
      <c r="AR902" t="s">
        <v>13792</v>
      </c>
      <c r="AS902" t="s">
        <v>74</v>
      </c>
      <c r="AT902" t="s">
        <v>74</v>
      </c>
      <c r="AU902">
        <v>2007</v>
      </c>
      <c r="AV902">
        <v>25</v>
      </c>
      <c r="AW902" t="s">
        <v>74</v>
      </c>
      <c r="AX902" t="s">
        <v>74</v>
      </c>
      <c r="AY902" t="s">
        <v>74</v>
      </c>
      <c r="AZ902" t="s">
        <v>74</v>
      </c>
      <c r="BA902" t="s">
        <v>74</v>
      </c>
      <c r="BB902">
        <v>103</v>
      </c>
      <c r="BC902">
        <v>110</v>
      </c>
      <c r="BD902" t="s">
        <v>74</v>
      </c>
      <c r="BE902" t="s">
        <v>13978</v>
      </c>
      <c r="BF902" t="str">
        <f>HYPERLINK("http://dx.doi.org/10.1051/eas:2007080","http://dx.doi.org/10.1051/eas:2007080")</f>
        <v>http://dx.doi.org/10.1051/eas:2007080</v>
      </c>
      <c r="BG902" t="s">
        <v>74</v>
      </c>
      <c r="BH902" t="s">
        <v>74</v>
      </c>
      <c r="BI902">
        <v>8</v>
      </c>
      <c r="BJ902" t="s">
        <v>175</v>
      </c>
      <c r="BK902" t="s">
        <v>5953</v>
      </c>
      <c r="BL902" t="s">
        <v>175</v>
      </c>
      <c r="BM902" t="s">
        <v>13794</v>
      </c>
      <c r="BN902" t="s">
        <v>74</v>
      </c>
      <c r="BO902" t="s">
        <v>1249</v>
      </c>
      <c r="BP902" t="s">
        <v>74</v>
      </c>
      <c r="BQ902" t="s">
        <v>74</v>
      </c>
      <c r="BR902" t="s">
        <v>101</v>
      </c>
      <c r="BS902" t="s">
        <v>13979</v>
      </c>
      <c r="BT902" t="str">
        <f>HYPERLINK("https%3A%2F%2Fwww.webofscience.com%2Fwos%2Fwoscc%2Ffull-record%2FWOS:000248621600018","View Full Record in Web of Science")</f>
        <v>View Full Record in Web of Science</v>
      </c>
    </row>
    <row r="903" spans="1:72" x14ac:dyDescent="0.15">
      <c r="A903" t="s">
        <v>5932</v>
      </c>
      <c r="B903" t="s">
        <v>13980</v>
      </c>
      <c r="C903" t="s">
        <v>74</v>
      </c>
      <c r="D903" t="s">
        <v>13775</v>
      </c>
      <c r="E903" t="s">
        <v>74</v>
      </c>
      <c r="F903" t="s">
        <v>13981</v>
      </c>
      <c r="G903" t="s">
        <v>74</v>
      </c>
      <c r="H903" t="s">
        <v>74</v>
      </c>
      <c r="I903" t="s">
        <v>13982</v>
      </c>
      <c r="J903" t="s">
        <v>13778</v>
      </c>
      <c r="K903" t="s">
        <v>13779</v>
      </c>
      <c r="L903" t="s">
        <v>74</v>
      </c>
      <c r="M903" t="s">
        <v>78</v>
      </c>
      <c r="N903" t="s">
        <v>5938</v>
      </c>
      <c r="O903" t="s">
        <v>13780</v>
      </c>
      <c r="P903" t="s">
        <v>13781</v>
      </c>
      <c r="Q903" t="s">
        <v>13782</v>
      </c>
      <c r="R903" t="s">
        <v>74</v>
      </c>
      <c r="S903" t="s">
        <v>74</v>
      </c>
      <c r="T903" t="s">
        <v>74</v>
      </c>
      <c r="U903" t="s">
        <v>74</v>
      </c>
      <c r="V903" t="s">
        <v>13983</v>
      </c>
      <c r="W903" t="s">
        <v>13984</v>
      </c>
      <c r="X903" t="s">
        <v>13985</v>
      </c>
      <c r="Y903" t="s">
        <v>13986</v>
      </c>
      <c r="Z903" t="s">
        <v>74</v>
      </c>
      <c r="AA903" t="s">
        <v>13987</v>
      </c>
      <c r="AB903" t="s">
        <v>13988</v>
      </c>
      <c r="AC903" t="s">
        <v>74</v>
      </c>
      <c r="AD903" t="s">
        <v>74</v>
      </c>
      <c r="AE903" t="s">
        <v>74</v>
      </c>
      <c r="AF903" t="s">
        <v>74</v>
      </c>
      <c r="AG903">
        <v>6</v>
      </c>
      <c r="AH903">
        <v>3</v>
      </c>
      <c r="AI903">
        <v>3</v>
      </c>
      <c r="AJ903">
        <v>0</v>
      </c>
      <c r="AK903">
        <v>0</v>
      </c>
      <c r="AL903" t="s">
        <v>13787</v>
      </c>
      <c r="AM903" t="s">
        <v>13788</v>
      </c>
      <c r="AN903" t="s">
        <v>13789</v>
      </c>
      <c r="AO903" t="s">
        <v>13790</v>
      </c>
      <c r="AP903" t="s">
        <v>74</v>
      </c>
      <c r="AQ903" t="s">
        <v>13791</v>
      </c>
      <c r="AR903" t="s">
        <v>13792</v>
      </c>
      <c r="AS903" t="s">
        <v>74</v>
      </c>
      <c r="AT903" t="s">
        <v>74</v>
      </c>
      <c r="AU903">
        <v>2007</v>
      </c>
      <c r="AV903">
        <v>25</v>
      </c>
      <c r="AW903" t="s">
        <v>74</v>
      </c>
      <c r="AX903" t="s">
        <v>74</v>
      </c>
      <c r="AY903" t="s">
        <v>74</v>
      </c>
      <c r="AZ903" t="s">
        <v>74</v>
      </c>
      <c r="BA903" t="s">
        <v>74</v>
      </c>
      <c r="BB903">
        <v>111</v>
      </c>
      <c r="BC903">
        <v>118</v>
      </c>
      <c r="BD903" t="s">
        <v>74</v>
      </c>
      <c r="BE903" t="s">
        <v>13989</v>
      </c>
      <c r="BF903" t="str">
        <f>HYPERLINK("http://dx.doi.org/10.1051/eas:2007081","http://dx.doi.org/10.1051/eas:2007081")</f>
        <v>http://dx.doi.org/10.1051/eas:2007081</v>
      </c>
      <c r="BG903" t="s">
        <v>74</v>
      </c>
      <c r="BH903" t="s">
        <v>74</v>
      </c>
      <c r="BI903">
        <v>8</v>
      </c>
      <c r="BJ903" t="s">
        <v>175</v>
      </c>
      <c r="BK903" t="s">
        <v>5953</v>
      </c>
      <c r="BL903" t="s">
        <v>175</v>
      </c>
      <c r="BM903" t="s">
        <v>13794</v>
      </c>
      <c r="BN903" t="s">
        <v>74</v>
      </c>
      <c r="BO903" t="s">
        <v>74</v>
      </c>
      <c r="BP903" t="s">
        <v>74</v>
      </c>
      <c r="BQ903" t="s">
        <v>74</v>
      </c>
      <c r="BR903" t="s">
        <v>101</v>
      </c>
      <c r="BS903" t="s">
        <v>13990</v>
      </c>
      <c r="BT903" t="str">
        <f>HYPERLINK("https%3A%2F%2Fwww.webofscience.com%2Fwos%2Fwoscc%2Ffull-record%2FWOS:000248621600019","View Full Record in Web of Science")</f>
        <v>View Full Record in Web of Science</v>
      </c>
    </row>
    <row r="904" spans="1:72" x14ac:dyDescent="0.15">
      <c r="A904" t="s">
        <v>5932</v>
      </c>
      <c r="B904" t="s">
        <v>13991</v>
      </c>
      <c r="C904" t="s">
        <v>74</v>
      </c>
      <c r="D904" t="s">
        <v>13775</v>
      </c>
      <c r="E904" t="s">
        <v>74</v>
      </c>
      <c r="F904" t="s">
        <v>13992</v>
      </c>
      <c r="G904" t="s">
        <v>74</v>
      </c>
      <c r="H904" t="s">
        <v>74</v>
      </c>
      <c r="I904" t="s">
        <v>13993</v>
      </c>
      <c r="J904" t="s">
        <v>13799</v>
      </c>
      <c r="K904" t="s">
        <v>13800</v>
      </c>
      <c r="L904" t="s">
        <v>74</v>
      </c>
      <c r="M904" t="s">
        <v>78</v>
      </c>
      <c r="N904" t="s">
        <v>5938</v>
      </c>
      <c r="O904" t="s">
        <v>13780</v>
      </c>
      <c r="P904" t="s">
        <v>13781</v>
      </c>
      <c r="Q904" t="s">
        <v>13782</v>
      </c>
      <c r="R904" t="s">
        <v>74</v>
      </c>
      <c r="S904" t="s">
        <v>74</v>
      </c>
      <c r="T904" t="s">
        <v>74</v>
      </c>
      <c r="U904" t="s">
        <v>13994</v>
      </c>
      <c r="V904" t="s">
        <v>13995</v>
      </c>
      <c r="W904" t="s">
        <v>13996</v>
      </c>
      <c r="X904" t="s">
        <v>13997</v>
      </c>
      <c r="Y904" t="s">
        <v>13998</v>
      </c>
      <c r="Z904" t="s">
        <v>13999</v>
      </c>
      <c r="AA904" t="s">
        <v>14000</v>
      </c>
      <c r="AB904" t="s">
        <v>14001</v>
      </c>
      <c r="AC904" t="s">
        <v>74</v>
      </c>
      <c r="AD904" t="s">
        <v>74</v>
      </c>
      <c r="AE904" t="s">
        <v>74</v>
      </c>
      <c r="AF904" t="s">
        <v>74</v>
      </c>
      <c r="AG904">
        <v>10</v>
      </c>
      <c r="AH904">
        <v>2</v>
      </c>
      <c r="AI904">
        <v>2</v>
      </c>
      <c r="AJ904">
        <v>0</v>
      </c>
      <c r="AK904">
        <v>0</v>
      </c>
      <c r="AL904" t="s">
        <v>13787</v>
      </c>
      <c r="AM904" t="s">
        <v>13788</v>
      </c>
      <c r="AN904" t="s">
        <v>13789</v>
      </c>
      <c r="AO904" t="s">
        <v>13790</v>
      </c>
      <c r="AP904" t="s">
        <v>74</v>
      </c>
      <c r="AQ904" t="s">
        <v>13791</v>
      </c>
      <c r="AR904" t="s">
        <v>13792</v>
      </c>
      <c r="AS904" t="s">
        <v>74</v>
      </c>
      <c r="AT904" t="s">
        <v>74</v>
      </c>
      <c r="AU904">
        <v>2007</v>
      </c>
      <c r="AV904">
        <v>25</v>
      </c>
      <c r="AW904" t="s">
        <v>74</v>
      </c>
      <c r="AX904" t="s">
        <v>74</v>
      </c>
      <c r="AY904" t="s">
        <v>74</v>
      </c>
      <c r="AZ904" t="s">
        <v>74</v>
      </c>
      <c r="BA904" t="s">
        <v>74</v>
      </c>
      <c r="BB904">
        <v>119</v>
      </c>
      <c r="BC904" t="s">
        <v>5541</v>
      </c>
      <c r="BD904" t="s">
        <v>74</v>
      </c>
      <c r="BE904" t="s">
        <v>14002</v>
      </c>
      <c r="BF904" t="str">
        <f>HYPERLINK("http://dx.doi.org/10.1051/eas:2007082","http://dx.doi.org/10.1051/eas:2007082")</f>
        <v>http://dx.doi.org/10.1051/eas:2007082</v>
      </c>
      <c r="BG904" t="s">
        <v>74</v>
      </c>
      <c r="BH904" t="s">
        <v>74</v>
      </c>
      <c r="BI904">
        <v>3</v>
      </c>
      <c r="BJ904" t="s">
        <v>175</v>
      </c>
      <c r="BK904" t="s">
        <v>5953</v>
      </c>
      <c r="BL904" t="s">
        <v>175</v>
      </c>
      <c r="BM904" t="s">
        <v>13794</v>
      </c>
      <c r="BN904" t="s">
        <v>74</v>
      </c>
      <c r="BO904" t="s">
        <v>1249</v>
      </c>
      <c r="BP904" t="s">
        <v>74</v>
      </c>
      <c r="BQ904" t="s">
        <v>74</v>
      </c>
      <c r="BR904" t="s">
        <v>101</v>
      </c>
      <c r="BS904" t="s">
        <v>14003</v>
      </c>
      <c r="BT904" t="str">
        <f>HYPERLINK("https%3A%2F%2Fwww.webofscience.com%2Fwos%2Fwoscc%2Ffull-record%2FWOS:000248621600020","View Full Record in Web of Science")</f>
        <v>View Full Record in Web of Science</v>
      </c>
    </row>
    <row r="905" spans="1:72" x14ac:dyDescent="0.15">
      <c r="A905" t="s">
        <v>5932</v>
      </c>
      <c r="B905" t="s">
        <v>14004</v>
      </c>
      <c r="C905" t="s">
        <v>74</v>
      </c>
      <c r="D905" t="s">
        <v>13775</v>
      </c>
      <c r="E905" t="s">
        <v>74</v>
      </c>
      <c r="F905" t="s">
        <v>14005</v>
      </c>
      <c r="G905" t="s">
        <v>74</v>
      </c>
      <c r="H905" t="s">
        <v>74</v>
      </c>
      <c r="I905" t="s">
        <v>14006</v>
      </c>
      <c r="J905" t="s">
        <v>13778</v>
      </c>
      <c r="K905" t="s">
        <v>13779</v>
      </c>
      <c r="L905" t="s">
        <v>74</v>
      </c>
      <c r="M905" t="s">
        <v>78</v>
      </c>
      <c r="N905" t="s">
        <v>5938</v>
      </c>
      <c r="O905" t="s">
        <v>13780</v>
      </c>
      <c r="P905" t="s">
        <v>13781</v>
      </c>
      <c r="Q905" t="s">
        <v>13782</v>
      </c>
      <c r="R905" t="s">
        <v>74</v>
      </c>
      <c r="S905" t="s">
        <v>74</v>
      </c>
      <c r="T905" t="s">
        <v>74</v>
      </c>
      <c r="U905" t="s">
        <v>14007</v>
      </c>
      <c r="V905" t="s">
        <v>14008</v>
      </c>
      <c r="W905" t="s">
        <v>14009</v>
      </c>
      <c r="X905" t="s">
        <v>13811</v>
      </c>
      <c r="Y905" t="s">
        <v>14010</v>
      </c>
      <c r="Z905" t="s">
        <v>74</v>
      </c>
      <c r="AA905" t="s">
        <v>74</v>
      </c>
      <c r="AB905" t="s">
        <v>14011</v>
      </c>
      <c r="AC905" t="s">
        <v>74</v>
      </c>
      <c r="AD905" t="s">
        <v>74</v>
      </c>
      <c r="AE905" t="s">
        <v>74</v>
      </c>
      <c r="AF905" t="s">
        <v>74</v>
      </c>
      <c r="AG905">
        <v>44</v>
      </c>
      <c r="AH905">
        <v>0</v>
      </c>
      <c r="AI905">
        <v>0</v>
      </c>
      <c r="AJ905">
        <v>0</v>
      </c>
      <c r="AK905">
        <v>0</v>
      </c>
      <c r="AL905" t="s">
        <v>13787</v>
      </c>
      <c r="AM905" t="s">
        <v>13788</v>
      </c>
      <c r="AN905" t="s">
        <v>13789</v>
      </c>
      <c r="AO905" t="s">
        <v>13790</v>
      </c>
      <c r="AP905" t="s">
        <v>74</v>
      </c>
      <c r="AQ905" t="s">
        <v>13791</v>
      </c>
      <c r="AR905" t="s">
        <v>13792</v>
      </c>
      <c r="AS905" t="s">
        <v>74</v>
      </c>
      <c r="AT905" t="s">
        <v>74</v>
      </c>
      <c r="AU905">
        <v>2007</v>
      </c>
      <c r="AV905">
        <v>25</v>
      </c>
      <c r="AW905" t="s">
        <v>74</v>
      </c>
      <c r="AX905" t="s">
        <v>74</v>
      </c>
      <c r="AY905" t="s">
        <v>74</v>
      </c>
      <c r="AZ905" t="s">
        <v>74</v>
      </c>
      <c r="BA905" t="s">
        <v>74</v>
      </c>
      <c r="BB905">
        <v>125</v>
      </c>
      <c r="BC905">
        <v>135</v>
      </c>
      <c r="BD905" t="s">
        <v>74</v>
      </c>
      <c r="BE905" t="s">
        <v>14012</v>
      </c>
      <c r="BF905" t="str">
        <f>HYPERLINK("http://dx.doi.org/10.1051/eas:2007083","http://dx.doi.org/10.1051/eas:2007083")</f>
        <v>http://dx.doi.org/10.1051/eas:2007083</v>
      </c>
      <c r="BG905" t="s">
        <v>74</v>
      </c>
      <c r="BH905" t="s">
        <v>74</v>
      </c>
      <c r="BI905">
        <v>11</v>
      </c>
      <c r="BJ905" t="s">
        <v>175</v>
      </c>
      <c r="BK905" t="s">
        <v>5953</v>
      </c>
      <c r="BL905" t="s">
        <v>175</v>
      </c>
      <c r="BM905" t="s">
        <v>13794</v>
      </c>
      <c r="BN905" t="s">
        <v>74</v>
      </c>
      <c r="BO905" t="s">
        <v>74</v>
      </c>
      <c r="BP905" t="s">
        <v>74</v>
      </c>
      <c r="BQ905" t="s">
        <v>74</v>
      </c>
      <c r="BR905" t="s">
        <v>101</v>
      </c>
      <c r="BS905" t="s">
        <v>14013</v>
      </c>
      <c r="BT905" t="str">
        <f>HYPERLINK("https%3A%2F%2Fwww.webofscience.com%2Fwos%2Fwoscc%2Ffull-record%2FWOS:000248621600021","View Full Record in Web of Science")</f>
        <v>View Full Record in Web of Science</v>
      </c>
    </row>
    <row r="906" spans="1:72" x14ac:dyDescent="0.15">
      <c r="A906" t="s">
        <v>5932</v>
      </c>
      <c r="B906" t="s">
        <v>14014</v>
      </c>
      <c r="C906" t="s">
        <v>74</v>
      </c>
      <c r="D906" t="s">
        <v>13775</v>
      </c>
      <c r="E906" t="s">
        <v>74</v>
      </c>
      <c r="F906" t="s">
        <v>14015</v>
      </c>
      <c r="G906" t="s">
        <v>74</v>
      </c>
      <c r="H906" t="s">
        <v>74</v>
      </c>
      <c r="I906" t="s">
        <v>14016</v>
      </c>
      <c r="J906" t="s">
        <v>13778</v>
      </c>
      <c r="K906" t="s">
        <v>13779</v>
      </c>
      <c r="L906" t="s">
        <v>74</v>
      </c>
      <c r="M906" t="s">
        <v>78</v>
      </c>
      <c r="N906" t="s">
        <v>5938</v>
      </c>
      <c r="O906" t="s">
        <v>13780</v>
      </c>
      <c r="P906" t="s">
        <v>13781</v>
      </c>
      <c r="Q906" t="s">
        <v>13782</v>
      </c>
      <c r="R906" t="s">
        <v>74</v>
      </c>
      <c r="S906" t="s">
        <v>74</v>
      </c>
      <c r="T906" t="s">
        <v>74</v>
      </c>
      <c r="U906" t="s">
        <v>74</v>
      </c>
      <c r="V906" t="s">
        <v>14017</v>
      </c>
      <c r="W906" t="s">
        <v>14018</v>
      </c>
      <c r="X906" t="s">
        <v>14019</v>
      </c>
      <c r="Y906" t="s">
        <v>14020</v>
      </c>
      <c r="Z906" t="s">
        <v>74</v>
      </c>
      <c r="AA906" t="s">
        <v>74</v>
      </c>
      <c r="AB906" t="s">
        <v>74</v>
      </c>
      <c r="AC906" t="s">
        <v>74</v>
      </c>
      <c r="AD906" t="s">
        <v>74</v>
      </c>
      <c r="AE906" t="s">
        <v>74</v>
      </c>
      <c r="AF906" t="s">
        <v>74</v>
      </c>
      <c r="AG906">
        <v>0</v>
      </c>
      <c r="AH906">
        <v>0</v>
      </c>
      <c r="AI906">
        <v>0</v>
      </c>
      <c r="AJ906">
        <v>0</v>
      </c>
      <c r="AK906">
        <v>0</v>
      </c>
      <c r="AL906" t="s">
        <v>13787</v>
      </c>
      <c r="AM906" t="s">
        <v>13788</v>
      </c>
      <c r="AN906" t="s">
        <v>13789</v>
      </c>
      <c r="AO906" t="s">
        <v>13790</v>
      </c>
      <c r="AP906" t="s">
        <v>74</v>
      </c>
      <c r="AQ906" t="s">
        <v>13791</v>
      </c>
      <c r="AR906" t="s">
        <v>13792</v>
      </c>
      <c r="AS906" t="s">
        <v>74</v>
      </c>
      <c r="AT906" t="s">
        <v>74</v>
      </c>
      <c r="AU906">
        <v>2007</v>
      </c>
      <c r="AV906">
        <v>25</v>
      </c>
      <c r="AW906" t="s">
        <v>74</v>
      </c>
      <c r="AX906" t="s">
        <v>74</v>
      </c>
      <c r="AY906" t="s">
        <v>74</v>
      </c>
      <c r="AZ906" t="s">
        <v>74</v>
      </c>
      <c r="BA906" t="s">
        <v>74</v>
      </c>
      <c r="BB906">
        <v>137</v>
      </c>
      <c r="BC906">
        <v>138</v>
      </c>
      <c r="BD906" t="s">
        <v>74</v>
      </c>
      <c r="BE906" t="s">
        <v>14021</v>
      </c>
      <c r="BF906" t="str">
        <f>HYPERLINK("http://dx.doi.org/10.1051/eas:2007084","http://dx.doi.org/10.1051/eas:2007084")</f>
        <v>http://dx.doi.org/10.1051/eas:2007084</v>
      </c>
      <c r="BG906" t="s">
        <v>74</v>
      </c>
      <c r="BH906" t="s">
        <v>74</v>
      </c>
      <c r="BI906">
        <v>2</v>
      </c>
      <c r="BJ906" t="s">
        <v>175</v>
      </c>
      <c r="BK906" t="s">
        <v>5953</v>
      </c>
      <c r="BL906" t="s">
        <v>175</v>
      </c>
      <c r="BM906" t="s">
        <v>13794</v>
      </c>
      <c r="BN906" t="s">
        <v>74</v>
      </c>
      <c r="BO906" t="s">
        <v>74</v>
      </c>
      <c r="BP906" t="s">
        <v>74</v>
      </c>
      <c r="BQ906" t="s">
        <v>74</v>
      </c>
      <c r="BR906" t="s">
        <v>101</v>
      </c>
      <c r="BS906" t="s">
        <v>14022</v>
      </c>
      <c r="BT906" t="str">
        <f>HYPERLINK("https%3A%2F%2Fwww.webofscience.com%2Fwos%2Fwoscc%2Ffull-record%2FWOS:000248621600022","View Full Record in Web of Science")</f>
        <v>View Full Record in Web of Science</v>
      </c>
    </row>
    <row r="907" spans="1:72" x14ac:dyDescent="0.15">
      <c r="A907" t="s">
        <v>5932</v>
      </c>
      <c r="B907" t="s">
        <v>14023</v>
      </c>
      <c r="C907" t="s">
        <v>74</v>
      </c>
      <c r="D907" t="s">
        <v>13775</v>
      </c>
      <c r="E907" t="s">
        <v>74</v>
      </c>
      <c r="F907" t="s">
        <v>14024</v>
      </c>
      <c r="G907" t="s">
        <v>74</v>
      </c>
      <c r="H907" t="s">
        <v>74</v>
      </c>
      <c r="I907" t="s">
        <v>14025</v>
      </c>
      <c r="J907" t="s">
        <v>13778</v>
      </c>
      <c r="K907" t="s">
        <v>13779</v>
      </c>
      <c r="L907" t="s">
        <v>74</v>
      </c>
      <c r="M907" t="s">
        <v>78</v>
      </c>
      <c r="N907" t="s">
        <v>5938</v>
      </c>
      <c r="O907" t="s">
        <v>13780</v>
      </c>
      <c r="P907" t="s">
        <v>13781</v>
      </c>
      <c r="Q907" t="s">
        <v>13782</v>
      </c>
      <c r="R907" t="s">
        <v>74</v>
      </c>
      <c r="S907" t="s">
        <v>74</v>
      </c>
      <c r="T907" t="s">
        <v>74</v>
      </c>
      <c r="U907" t="s">
        <v>14026</v>
      </c>
      <c r="V907" t="s">
        <v>14027</v>
      </c>
      <c r="W907" t="s">
        <v>14028</v>
      </c>
      <c r="X907" t="s">
        <v>14029</v>
      </c>
      <c r="Y907" t="s">
        <v>14030</v>
      </c>
      <c r="Z907" t="s">
        <v>74</v>
      </c>
      <c r="AA907" t="s">
        <v>14031</v>
      </c>
      <c r="AB907" t="s">
        <v>14032</v>
      </c>
      <c r="AC907" t="s">
        <v>74</v>
      </c>
      <c r="AD907" t="s">
        <v>74</v>
      </c>
      <c r="AE907" t="s">
        <v>74</v>
      </c>
      <c r="AF907" t="s">
        <v>74</v>
      </c>
      <c r="AG907">
        <v>20</v>
      </c>
      <c r="AH907">
        <v>0</v>
      </c>
      <c r="AI907">
        <v>0</v>
      </c>
      <c r="AJ907">
        <v>0</v>
      </c>
      <c r="AK907">
        <v>1</v>
      </c>
      <c r="AL907" t="s">
        <v>13787</v>
      </c>
      <c r="AM907" t="s">
        <v>13788</v>
      </c>
      <c r="AN907" t="s">
        <v>13789</v>
      </c>
      <c r="AO907" t="s">
        <v>13790</v>
      </c>
      <c r="AP907" t="s">
        <v>74</v>
      </c>
      <c r="AQ907" t="s">
        <v>13791</v>
      </c>
      <c r="AR907" t="s">
        <v>13792</v>
      </c>
      <c r="AS907" t="s">
        <v>74</v>
      </c>
      <c r="AT907" t="s">
        <v>74</v>
      </c>
      <c r="AU907">
        <v>2007</v>
      </c>
      <c r="AV907">
        <v>25</v>
      </c>
      <c r="AW907" t="s">
        <v>74</v>
      </c>
      <c r="AX907" t="s">
        <v>74</v>
      </c>
      <c r="AY907" t="s">
        <v>74</v>
      </c>
      <c r="AZ907" t="s">
        <v>74</v>
      </c>
      <c r="BA907" t="s">
        <v>74</v>
      </c>
      <c r="BB907">
        <v>139</v>
      </c>
      <c r="BC907">
        <v>146</v>
      </c>
      <c r="BD907" t="s">
        <v>74</v>
      </c>
      <c r="BE907" t="s">
        <v>14033</v>
      </c>
      <c r="BF907" t="str">
        <f>HYPERLINK("http://dx.doi.org/10.1051/eas:2007085","http://dx.doi.org/10.1051/eas:2007085")</f>
        <v>http://dx.doi.org/10.1051/eas:2007085</v>
      </c>
      <c r="BG907" t="s">
        <v>74</v>
      </c>
      <c r="BH907" t="s">
        <v>74</v>
      </c>
      <c r="BI907">
        <v>8</v>
      </c>
      <c r="BJ907" t="s">
        <v>175</v>
      </c>
      <c r="BK907" t="s">
        <v>5953</v>
      </c>
      <c r="BL907" t="s">
        <v>175</v>
      </c>
      <c r="BM907" t="s">
        <v>13794</v>
      </c>
      <c r="BN907" t="s">
        <v>74</v>
      </c>
      <c r="BO907" t="s">
        <v>74</v>
      </c>
      <c r="BP907" t="s">
        <v>74</v>
      </c>
      <c r="BQ907" t="s">
        <v>74</v>
      </c>
      <c r="BR907" t="s">
        <v>101</v>
      </c>
      <c r="BS907" t="s">
        <v>14034</v>
      </c>
      <c r="BT907" t="str">
        <f>HYPERLINK("https%3A%2F%2Fwww.webofscience.com%2Fwos%2Fwoscc%2Ffull-record%2FWOS:000248621600023","View Full Record in Web of Science")</f>
        <v>View Full Record in Web of Science</v>
      </c>
    </row>
    <row r="908" spans="1:72" x14ac:dyDescent="0.15">
      <c r="A908" t="s">
        <v>5932</v>
      </c>
      <c r="B908" t="s">
        <v>14035</v>
      </c>
      <c r="C908" t="s">
        <v>74</v>
      </c>
      <c r="D908" t="s">
        <v>13775</v>
      </c>
      <c r="E908" t="s">
        <v>74</v>
      </c>
      <c r="F908" t="s">
        <v>14036</v>
      </c>
      <c r="G908" t="s">
        <v>74</v>
      </c>
      <c r="H908" t="s">
        <v>74</v>
      </c>
      <c r="I908" t="s">
        <v>14037</v>
      </c>
      <c r="J908" t="s">
        <v>13778</v>
      </c>
      <c r="K908" t="s">
        <v>13779</v>
      </c>
      <c r="L908" t="s">
        <v>74</v>
      </c>
      <c r="M908" t="s">
        <v>78</v>
      </c>
      <c r="N908" t="s">
        <v>5938</v>
      </c>
      <c r="O908" t="s">
        <v>13780</v>
      </c>
      <c r="P908" t="s">
        <v>13781</v>
      </c>
      <c r="Q908" t="s">
        <v>13782</v>
      </c>
      <c r="R908" t="s">
        <v>74</v>
      </c>
      <c r="S908" t="s">
        <v>74</v>
      </c>
      <c r="T908" t="s">
        <v>74</v>
      </c>
      <c r="U908" t="s">
        <v>14038</v>
      </c>
      <c r="V908" t="s">
        <v>14039</v>
      </c>
      <c r="W908" t="s">
        <v>14040</v>
      </c>
      <c r="X908" t="s">
        <v>74</v>
      </c>
      <c r="Y908" t="s">
        <v>14041</v>
      </c>
      <c r="Z908" t="s">
        <v>74</v>
      </c>
      <c r="AA908" t="s">
        <v>74</v>
      </c>
      <c r="AB908" t="s">
        <v>14042</v>
      </c>
      <c r="AC908" t="s">
        <v>74</v>
      </c>
      <c r="AD908" t="s">
        <v>74</v>
      </c>
      <c r="AE908" t="s">
        <v>74</v>
      </c>
      <c r="AF908" t="s">
        <v>74</v>
      </c>
      <c r="AG908">
        <v>21</v>
      </c>
      <c r="AH908">
        <v>3</v>
      </c>
      <c r="AI908">
        <v>3</v>
      </c>
      <c r="AJ908">
        <v>0</v>
      </c>
      <c r="AK908">
        <v>0</v>
      </c>
      <c r="AL908" t="s">
        <v>13787</v>
      </c>
      <c r="AM908" t="s">
        <v>13788</v>
      </c>
      <c r="AN908" t="s">
        <v>13789</v>
      </c>
      <c r="AO908" t="s">
        <v>13790</v>
      </c>
      <c r="AP908" t="s">
        <v>74</v>
      </c>
      <c r="AQ908" t="s">
        <v>13791</v>
      </c>
      <c r="AR908" t="s">
        <v>13792</v>
      </c>
      <c r="AS908" t="s">
        <v>74</v>
      </c>
      <c r="AT908" t="s">
        <v>74</v>
      </c>
      <c r="AU908">
        <v>2007</v>
      </c>
      <c r="AV908">
        <v>25</v>
      </c>
      <c r="AW908" t="s">
        <v>74</v>
      </c>
      <c r="AX908" t="s">
        <v>74</v>
      </c>
      <c r="AY908" t="s">
        <v>74</v>
      </c>
      <c r="AZ908" t="s">
        <v>74</v>
      </c>
      <c r="BA908" t="s">
        <v>74</v>
      </c>
      <c r="BB908">
        <v>147</v>
      </c>
      <c r="BC908">
        <v>154</v>
      </c>
      <c r="BD908" t="s">
        <v>74</v>
      </c>
      <c r="BE908" t="s">
        <v>14043</v>
      </c>
      <c r="BF908" t="str">
        <f>HYPERLINK("http://dx.doi.org/10.1051/eas:2007086","http://dx.doi.org/10.1051/eas:2007086")</f>
        <v>http://dx.doi.org/10.1051/eas:2007086</v>
      </c>
      <c r="BG908" t="s">
        <v>74</v>
      </c>
      <c r="BH908" t="s">
        <v>74</v>
      </c>
      <c r="BI908">
        <v>8</v>
      </c>
      <c r="BJ908" t="s">
        <v>175</v>
      </c>
      <c r="BK908" t="s">
        <v>5953</v>
      </c>
      <c r="BL908" t="s">
        <v>175</v>
      </c>
      <c r="BM908" t="s">
        <v>13794</v>
      </c>
      <c r="BN908" t="s">
        <v>74</v>
      </c>
      <c r="BO908" t="s">
        <v>1249</v>
      </c>
      <c r="BP908" t="s">
        <v>74</v>
      </c>
      <c r="BQ908" t="s">
        <v>74</v>
      </c>
      <c r="BR908" t="s">
        <v>101</v>
      </c>
      <c r="BS908" t="s">
        <v>14044</v>
      </c>
      <c r="BT908" t="str">
        <f>HYPERLINK("https%3A%2F%2Fwww.webofscience.com%2Fwos%2Fwoscc%2Ffull-record%2FWOS:000248621600024","View Full Record in Web of Science")</f>
        <v>View Full Record in Web of Science</v>
      </c>
    </row>
    <row r="909" spans="1:72" x14ac:dyDescent="0.15">
      <c r="A909" t="s">
        <v>5932</v>
      </c>
      <c r="B909" t="s">
        <v>14045</v>
      </c>
      <c r="C909" t="s">
        <v>74</v>
      </c>
      <c r="D909" t="s">
        <v>13775</v>
      </c>
      <c r="E909" t="s">
        <v>74</v>
      </c>
      <c r="F909" t="s">
        <v>14046</v>
      </c>
      <c r="G909" t="s">
        <v>74</v>
      </c>
      <c r="H909" t="s">
        <v>74</v>
      </c>
      <c r="I909" t="s">
        <v>14047</v>
      </c>
      <c r="J909" t="s">
        <v>13778</v>
      </c>
      <c r="K909" t="s">
        <v>13779</v>
      </c>
      <c r="L909" t="s">
        <v>74</v>
      </c>
      <c r="M909" t="s">
        <v>78</v>
      </c>
      <c r="N909" t="s">
        <v>5938</v>
      </c>
      <c r="O909" t="s">
        <v>13780</v>
      </c>
      <c r="P909" t="s">
        <v>13781</v>
      </c>
      <c r="Q909" t="s">
        <v>13782</v>
      </c>
      <c r="R909" t="s">
        <v>74</v>
      </c>
      <c r="S909" t="s">
        <v>74</v>
      </c>
      <c r="T909" t="s">
        <v>74</v>
      </c>
      <c r="U909" t="s">
        <v>14048</v>
      </c>
      <c r="V909" t="s">
        <v>14049</v>
      </c>
      <c r="W909" t="s">
        <v>14050</v>
      </c>
      <c r="X909" t="s">
        <v>13811</v>
      </c>
      <c r="Y909" t="s">
        <v>14051</v>
      </c>
      <c r="Z909" t="s">
        <v>74</v>
      </c>
      <c r="AA909" t="s">
        <v>74</v>
      </c>
      <c r="AB909" t="s">
        <v>74</v>
      </c>
      <c r="AC909" t="s">
        <v>74</v>
      </c>
      <c r="AD909" t="s">
        <v>74</v>
      </c>
      <c r="AE909" t="s">
        <v>74</v>
      </c>
      <c r="AF909" t="s">
        <v>74</v>
      </c>
      <c r="AG909">
        <v>22</v>
      </c>
      <c r="AH909">
        <v>0</v>
      </c>
      <c r="AI909">
        <v>0</v>
      </c>
      <c r="AJ909">
        <v>0</v>
      </c>
      <c r="AK909">
        <v>0</v>
      </c>
      <c r="AL909" t="s">
        <v>13787</v>
      </c>
      <c r="AM909" t="s">
        <v>13788</v>
      </c>
      <c r="AN909" t="s">
        <v>13789</v>
      </c>
      <c r="AO909" t="s">
        <v>13790</v>
      </c>
      <c r="AP909" t="s">
        <v>74</v>
      </c>
      <c r="AQ909" t="s">
        <v>13791</v>
      </c>
      <c r="AR909" t="s">
        <v>13792</v>
      </c>
      <c r="AS909" t="s">
        <v>74</v>
      </c>
      <c r="AT909" t="s">
        <v>74</v>
      </c>
      <c r="AU909">
        <v>2007</v>
      </c>
      <c r="AV909">
        <v>25</v>
      </c>
      <c r="AW909" t="s">
        <v>74</v>
      </c>
      <c r="AX909" t="s">
        <v>74</v>
      </c>
      <c r="AY909" t="s">
        <v>74</v>
      </c>
      <c r="AZ909" t="s">
        <v>74</v>
      </c>
      <c r="BA909" t="s">
        <v>74</v>
      </c>
      <c r="BB909">
        <v>155</v>
      </c>
      <c r="BC909">
        <v>160</v>
      </c>
      <c r="BD909" t="s">
        <v>74</v>
      </c>
      <c r="BE909" t="s">
        <v>14052</v>
      </c>
      <c r="BF909" t="str">
        <f>HYPERLINK("http://dx.doi.org/10.1051/eas:2007087","http://dx.doi.org/10.1051/eas:2007087")</f>
        <v>http://dx.doi.org/10.1051/eas:2007087</v>
      </c>
      <c r="BG909" t="s">
        <v>74</v>
      </c>
      <c r="BH909" t="s">
        <v>74</v>
      </c>
      <c r="BI909">
        <v>6</v>
      </c>
      <c r="BJ909" t="s">
        <v>175</v>
      </c>
      <c r="BK909" t="s">
        <v>5953</v>
      </c>
      <c r="BL909" t="s">
        <v>175</v>
      </c>
      <c r="BM909" t="s">
        <v>13794</v>
      </c>
      <c r="BN909" t="s">
        <v>74</v>
      </c>
      <c r="BO909" t="s">
        <v>74</v>
      </c>
      <c r="BP909" t="s">
        <v>74</v>
      </c>
      <c r="BQ909" t="s">
        <v>74</v>
      </c>
      <c r="BR909" t="s">
        <v>101</v>
      </c>
      <c r="BS909" t="s">
        <v>14053</v>
      </c>
      <c r="BT909" t="str">
        <f>HYPERLINK("https%3A%2F%2Fwww.webofscience.com%2Fwos%2Fwoscc%2Ffull-record%2FWOS:000248621600025","View Full Record in Web of Science")</f>
        <v>View Full Record in Web of Science</v>
      </c>
    </row>
    <row r="910" spans="1:72" x14ac:dyDescent="0.15">
      <c r="A910" t="s">
        <v>5932</v>
      </c>
      <c r="B910" t="s">
        <v>14054</v>
      </c>
      <c r="C910" t="s">
        <v>74</v>
      </c>
      <c r="D910" t="s">
        <v>13775</v>
      </c>
      <c r="E910" t="s">
        <v>74</v>
      </c>
      <c r="F910" t="s">
        <v>14055</v>
      </c>
      <c r="G910" t="s">
        <v>74</v>
      </c>
      <c r="H910" t="s">
        <v>74</v>
      </c>
      <c r="I910" t="s">
        <v>14056</v>
      </c>
      <c r="J910" t="s">
        <v>13778</v>
      </c>
      <c r="K910" t="s">
        <v>13779</v>
      </c>
      <c r="L910" t="s">
        <v>74</v>
      </c>
      <c r="M910" t="s">
        <v>78</v>
      </c>
      <c r="N910" t="s">
        <v>5938</v>
      </c>
      <c r="O910" t="s">
        <v>13780</v>
      </c>
      <c r="P910" t="s">
        <v>13781</v>
      </c>
      <c r="Q910" t="s">
        <v>13782</v>
      </c>
      <c r="R910" t="s">
        <v>74</v>
      </c>
      <c r="S910" t="s">
        <v>74</v>
      </c>
      <c r="T910" t="s">
        <v>74</v>
      </c>
      <c r="U910" t="s">
        <v>14057</v>
      </c>
      <c r="V910" t="s">
        <v>14058</v>
      </c>
      <c r="W910" t="s">
        <v>14059</v>
      </c>
      <c r="X910" t="s">
        <v>13811</v>
      </c>
      <c r="Y910" t="s">
        <v>14060</v>
      </c>
      <c r="Z910" t="s">
        <v>74</v>
      </c>
      <c r="AA910" t="s">
        <v>14061</v>
      </c>
      <c r="AB910" t="s">
        <v>14062</v>
      </c>
      <c r="AC910" t="s">
        <v>74</v>
      </c>
      <c r="AD910" t="s">
        <v>74</v>
      </c>
      <c r="AE910" t="s">
        <v>74</v>
      </c>
      <c r="AF910" t="s">
        <v>74</v>
      </c>
      <c r="AG910">
        <v>17</v>
      </c>
      <c r="AH910">
        <v>1</v>
      </c>
      <c r="AI910">
        <v>1</v>
      </c>
      <c r="AJ910">
        <v>0</v>
      </c>
      <c r="AK910">
        <v>2</v>
      </c>
      <c r="AL910" t="s">
        <v>13787</v>
      </c>
      <c r="AM910" t="s">
        <v>13788</v>
      </c>
      <c r="AN910" t="s">
        <v>13789</v>
      </c>
      <c r="AO910" t="s">
        <v>13790</v>
      </c>
      <c r="AP910" t="s">
        <v>74</v>
      </c>
      <c r="AQ910" t="s">
        <v>13791</v>
      </c>
      <c r="AR910" t="s">
        <v>13792</v>
      </c>
      <c r="AS910" t="s">
        <v>74</v>
      </c>
      <c r="AT910" t="s">
        <v>74</v>
      </c>
      <c r="AU910">
        <v>2007</v>
      </c>
      <c r="AV910">
        <v>25</v>
      </c>
      <c r="AW910" t="s">
        <v>74</v>
      </c>
      <c r="AX910" t="s">
        <v>74</v>
      </c>
      <c r="AY910" t="s">
        <v>74</v>
      </c>
      <c r="AZ910" t="s">
        <v>74</v>
      </c>
      <c r="BA910" t="s">
        <v>74</v>
      </c>
      <c r="BB910">
        <v>161</v>
      </c>
      <c r="BC910">
        <v>164</v>
      </c>
      <c r="BD910" t="s">
        <v>74</v>
      </c>
      <c r="BE910" t="s">
        <v>14063</v>
      </c>
      <c r="BF910" t="str">
        <f>HYPERLINK("http://dx.doi.org/10.1051/eas:2007088","http://dx.doi.org/10.1051/eas:2007088")</f>
        <v>http://dx.doi.org/10.1051/eas:2007088</v>
      </c>
      <c r="BG910" t="s">
        <v>74</v>
      </c>
      <c r="BH910" t="s">
        <v>74</v>
      </c>
      <c r="BI910">
        <v>4</v>
      </c>
      <c r="BJ910" t="s">
        <v>175</v>
      </c>
      <c r="BK910" t="s">
        <v>5953</v>
      </c>
      <c r="BL910" t="s">
        <v>175</v>
      </c>
      <c r="BM910" t="s">
        <v>13794</v>
      </c>
      <c r="BN910" t="s">
        <v>74</v>
      </c>
      <c r="BO910" t="s">
        <v>74</v>
      </c>
      <c r="BP910" t="s">
        <v>74</v>
      </c>
      <c r="BQ910" t="s">
        <v>74</v>
      </c>
      <c r="BR910" t="s">
        <v>101</v>
      </c>
      <c r="BS910" t="s">
        <v>14064</v>
      </c>
      <c r="BT910" t="str">
        <f>HYPERLINK("https%3A%2F%2Fwww.webofscience.com%2Fwos%2Fwoscc%2Ffull-record%2FWOS:000248621600026","View Full Record in Web of Science")</f>
        <v>View Full Record in Web of Science</v>
      </c>
    </row>
    <row r="911" spans="1:72" x14ac:dyDescent="0.15">
      <c r="A911" t="s">
        <v>5932</v>
      </c>
      <c r="B911" t="s">
        <v>14065</v>
      </c>
      <c r="C911" t="s">
        <v>74</v>
      </c>
      <c r="D911" t="s">
        <v>13775</v>
      </c>
      <c r="E911" t="s">
        <v>74</v>
      </c>
      <c r="F911" t="s">
        <v>14066</v>
      </c>
      <c r="G911" t="s">
        <v>74</v>
      </c>
      <c r="H911" t="s">
        <v>74</v>
      </c>
      <c r="I911" t="s">
        <v>14067</v>
      </c>
      <c r="J911" t="s">
        <v>13778</v>
      </c>
      <c r="K911" t="s">
        <v>13779</v>
      </c>
      <c r="L911" t="s">
        <v>74</v>
      </c>
      <c r="M911" t="s">
        <v>78</v>
      </c>
      <c r="N911" t="s">
        <v>5938</v>
      </c>
      <c r="O911" t="s">
        <v>13780</v>
      </c>
      <c r="P911" t="s">
        <v>13781</v>
      </c>
      <c r="Q911" t="s">
        <v>13782</v>
      </c>
      <c r="R911" t="s">
        <v>74</v>
      </c>
      <c r="S911" t="s">
        <v>74</v>
      </c>
      <c r="T911" t="s">
        <v>74</v>
      </c>
      <c r="U911" t="s">
        <v>14068</v>
      </c>
      <c r="V911" t="s">
        <v>14069</v>
      </c>
      <c r="W911" t="s">
        <v>14070</v>
      </c>
      <c r="X911" t="s">
        <v>13811</v>
      </c>
      <c r="Y911" t="s">
        <v>14071</v>
      </c>
      <c r="Z911" t="s">
        <v>74</v>
      </c>
      <c r="AA911" t="s">
        <v>14072</v>
      </c>
      <c r="AB911" t="s">
        <v>14073</v>
      </c>
      <c r="AC911" t="s">
        <v>74</v>
      </c>
      <c r="AD911" t="s">
        <v>74</v>
      </c>
      <c r="AE911" t="s">
        <v>74</v>
      </c>
      <c r="AF911" t="s">
        <v>74</v>
      </c>
      <c r="AG911">
        <v>4</v>
      </c>
      <c r="AH911">
        <v>4</v>
      </c>
      <c r="AI911">
        <v>4</v>
      </c>
      <c r="AJ911">
        <v>0</v>
      </c>
      <c r="AK911">
        <v>2</v>
      </c>
      <c r="AL911" t="s">
        <v>13787</v>
      </c>
      <c r="AM911" t="s">
        <v>13788</v>
      </c>
      <c r="AN911" t="s">
        <v>13789</v>
      </c>
      <c r="AO911" t="s">
        <v>13790</v>
      </c>
      <c r="AP911" t="s">
        <v>74</v>
      </c>
      <c r="AQ911" t="s">
        <v>13791</v>
      </c>
      <c r="AR911" t="s">
        <v>13792</v>
      </c>
      <c r="AS911" t="s">
        <v>74</v>
      </c>
      <c r="AT911" t="s">
        <v>74</v>
      </c>
      <c r="AU911">
        <v>2007</v>
      </c>
      <c r="AV911">
        <v>25</v>
      </c>
      <c r="AW911" t="s">
        <v>74</v>
      </c>
      <c r="AX911" t="s">
        <v>74</v>
      </c>
      <c r="AY911" t="s">
        <v>74</v>
      </c>
      <c r="AZ911" t="s">
        <v>74</v>
      </c>
      <c r="BA911" t="s">
        <v>74</v>
      </c>
      <c r="BB911">
        <v>165</v>
      </c>
      <c r="BC911">
        <v>169</v>
      </c>
      <c r="BD911" t="s">
        <v>74</v>
      </c>
      <c r="BE911" t="s">
        <v>14074</v>
      </c>
      <c r="BF911" t="str">
        <f>HYPERLINK("http://dx.doi.org/10.1051/eas:2007089","http://dx.doi.org/10.1051/eas:2007089")</f>
        <v>http://dx.doi.org/10.1051/eas:2007089</v>
      </c>
      <c r="BG911" t="s">
        <v>74</v>
      </c>
      <c r="BH911" t="s">
        <v>74</v>
      </c>
      <c r="BI911">
        <v>5</v>
      </c>
      <c r="BJ911" t="s">
        <v>175</v>
      </c>
      <c r="BK911" t="s">
        <v>5953</v>
      </c>
      <c r="BL911" t="s">
        <v>175</v>
      </c>
      <c r="BM911" t="s">
        <v>13794</v>
      </c>
      <c r="BN911" t="s">
        <v>74</v>
      </c>
      <c r="BO911" t="s">
        <v>74</v>
      </c>
      <c r="BP911" t="s">
        <v>74</v>
      </c>
      <c r="BQ911" t="s">
        <v>74</v>
      </c>
      <c r="BR911" t="s">
        <v>101</v>
      </c>
      <c r="BS911" t="s">
        <v>14075</v>
      </c>
      <c r="BT911" t="str">
        <f>HYPERLINK("https%3A%2F%2Fwww.webofscience.com%2Fwos%2Fwoscc%2Ffull-record%2FWOS:000248621600027","View Full Record in Web of Science")</f>
        <v>View Full Record in Web of Science</v>
      </c>
    </row>
    <row r="912" spans="1:72" x14ac:dyDescent="0.15">
      <c r="A912" t="s">
        <v>5932</v>
      </c>
      <c r="B912" t="s">
        <v>14076</v>
      </c>
      <c r="C912" t="s">
        <v>74</v>
      </c>
      <c r="D912" t="s">
        <v>13775</v>
      </c>
      <c r="E912" t="s">
        <v>74</v>
      </c>
      <c r="F912" t="s">
        <v>14077</v>
      </c>
      <c r="G912" t="s">
        <v>74</v>
      </c>
      <c r="H912" t="s">
        <v>74</v>
      </c>
      <c r="I912" t="s">
        <v>14078</v>
      </c>
      <c r="J912" t="s">
        <v>13799</v>
      </c>
      <c r="K912" t="s">
        <v>13800</v>
      </c>
      <c r="L912" t="s">
        <v>74</v>
      </c>
      <c r="M912" t="s">
        <v>78</v>
      </c>
      <c r="N912" t="s">
        <v>5938</v>
      </c>
      <c r="O912" t="s">
        <v>13780</v>
      </c>
      <c r="P912" t="s">
        <v>13781</v>
      </c>
      <c r="Q912" t="s">
        <v>13782</v>
      </c>
      <c r="R912" t="s">
        <v>74</v>
      </c>
      <c r="S912" t="s">
        <v>74</v>
      </c>
      <c r="T912" t="s">
        <v>74</v>
      </c>
      <c r="U912" t="s">
        <v>14079</v>
      </c>
      <c r="V912" t="s">
        <v>14080</v>
      </c>
      <c r="W912" t="s">
        <v>14081</v>
      </c>
      <c r="X912" t="s">
        <v>14082</v>
      </c>
      <c r="Y912" t="s">
        <v>14083</v>
      </c>
      <c r="Z912" t="s">
        <v>74</v>
      </c>
      <c r="AA912" t="s">
        <v>14084</v>
      </c>
      <c r="AB912" t="s">
        <v>14085</v>
      </c>
      <c r="AC912" t="s">
        <v>14086</v>
      </c>
      <c r="AD912" t="s">
        <v>14087</v>
      </c>
      <c r="AE912" t="s">
        <v>14088</v>
      </c>
      <c r="AF912" t="s">
        <v>74</v>
      </c>
      <c r="AG912">
        <v>9</v>
      </c>
      <c r="AH912">
        <v>1</v>
      </c>
      <c r="AI912">
        <v>1</v>
      </c>
      <c r="AJ912">
        <v>0</v>
      </c>
      <c r="AK912">
        <v>1</v>
      </c>
      <c r="AL912" t="s">
        <v>13787</v>
      </c>
      <c r="AM912" t="s">
        <v>13788</v>
      </c>
      <c r="AN912" t="s">
        <v>13789</v>
      </c>
      <c r="AO912" t="s">
        <v>13790</v>
      </c>
      <c r="AP912" t="s">
        <v>74</v>
      </c>
      <c r="AQ912" t="s">
        <v>13791</v>
      </c>
      <c r="AR912" t="s">
        <v>13792</v>
      </c>
      <c r="AS912" t="s">
        <v>74</v>
      </c>
      <c r="AT912" t="s">
        <v>74</v>
      </c>
      <c r="AU912">
        <v>2007</v>
      </c>
      <c r="AV912">
        <v>25</v>
      </c>
      <c r="AW912" t="s">
        <v>74</v>
      </c>
      <c r="AX912" t="s">
        <v>74</v>
      </c>
      <c r="AY912" t="s">
        <v>74</v>
      </c>
      <c r="AZ912" t="s">
        <v>74</v>
      </c>
      <c r="BA912" t="s">
        <v>74</v>
      </c>
      <c r="BB912">
        <v>171</v>
      </c>
      <c r="BC912" t="s">
        <v>5541</v>
      </c>
      <c r="BD912" t="s">
        <v>74</v>
      </c>
      <c r="BE912" t="s">
        <v>14089</v>
      </c>
      <c r="BF912" t="str">
        <f>HYPERLINK("http://dx.doi.org/10.1051/eas:2007090","http://dx.doi.org/10.1051/eas:2007090")</f>
        <v>http://dx.doi.org/10.1051/eas:2007090</v>
      </c>
      <c r="BG912" t="s">
        <v>74</v>
      </c>
      <c r="BH912" t="s">
        <v>74</v>
      </c>
      <c r="BI912">
        <v>2</v>
      </c>
      <c r="BJ912" t="s">
        <v>175</v>
      </c>
      <c r="BK912" t="s">
        <v>5953</v>
      </c>
      <c r="BL912" t="s">
        <v>175</v>
      </c>
      <c r="BM912" t="s">
        <v>13794</v>
      </c>
      <c r="BN912" t="s">
        <v>74</v>
      </c>
      <c r="BO912" t="s">
        <v>1249</v>
      </c>
      <c r="BP912" t="s">
        <v>74</v>
      </c>
      <c r="BQ912" t="s">
        <v>74</v>
      </c>
      <c r="BR912" t="s">
        <v>101</v>
      </c>
      <c r="BS912" t="s">
        <v>14090</v>
      </c>
      <c r="BT912" t="str">
        <f>HYPERLINK("https%3A%2F%2Fwww.webofscience.com%2Fwos%2Fwoscc%2Ffull-record%2FWOS:000248621600028","View Full Record in Web of Science")</f>
        <v>View Full Record in Web of Science</v>
      </c>
    </row>
    <row r="913" spans="1:72" x14ac:dyDescent="0.15">
      <c r="A913" t="s">
        <v>5932</v>
      </c>
      <c r="B913" t="s">
        <v>14091</v>
      </c>
      <c r="C913" t="s">
        <v>74</v>
      </c>
      <c r="D913" t="s">
        <v>13775</v>
      </c>
      <c r="E913" t="s">
        <v>74</v>
      </c>
      <c r="F913" t="s">
        <v>14092</v>
      </c>
      <c r="G913" t="s">
        <v>74</v>
      </c>
      <c r="H913" t="s">
        <v>74</v>
      </c>
      <c r="I913" t="s">
        <v>14093</v>
      </c>
      <c r="J913" t="s">
        <v>13799</v>
      </c>
      <c r="K913" t="s">
        <v>13800</v>
      </c>
      <c r="L913" t="s">
        <v>74</v>
      </c>
      <c r="M913" t="s">
        <v>78</v>
      </c>
      <c r="N913" t="s">
        <v>5938</v>
      </c>
      <c r="O913" t="s">
        <v>13780</v>
      </c>
      <c r="P913" t="s">
        <v>13781</v>
      </c>
      <c r="Q913" t="s">
        <v>13782</v>
      </c>
      <c r="R913" t="s">
        <v>74</v>
      </c>
      <c r="S913" t="s">
        <v>74</v>
      </c>
      <c r="T913" t="s">
        <v>74</v>
      </c>
      <c r="U913" t="s">
        <v>14094</v>
      </c>
      <c r="V913" t="s">
        <v>14095</v>
      </c>
      <c r="W913" t="s">
        <v>14096</v>
      </c>
      <c r="X913" t="s">
        <v>14097</v>
      </c>
      <c r="Y913" t="s">
        <v>14098</v>
      </c>
      <c r="Z913" t="s">
        <v>74</v>
      </c>
      <c r="AA913" t="s">
        <v>74</v>
      </c>
      <c r="AB913" t="s">
        <v>74</v>
      </c>
      <c r="AC913" t="s">
        <v>74</v>
      </c>
      <c r="AD913" t="s">
        <v>74</v>
      </c>
      <c r="AE913" t="s">
        <v>74</v>
      </c>
      <c r="AF913" t="s">
        <v>74</v>
      </c>
      <c r="AG913">
        <v>11</v>
      </c>
      <c r="AH913">
        <v>2</v>
      </c>
      <c r="AI913">
        <v>2</v>
      </c>
      <c r="AJ913">
        <v>0</v>
      </c>
      <c r="AK913">
        <v>1</v>
      </c>
      <c r="AL913" t="s">
        <v>13787</v>
      </c>
      <c r="AM913" t="s">
        <v>13788</v>
      </c>
      <c r="AN913" t="s">
        <v>13789</v>
      </c>
      <c r="AO913" t="s">
        <v>13790</v>
      </c>
      <c r="AP913" t="s">
        <v>74</v>
      </c>
      <c r="AQ913" t="s">
        <v>13791</v>
      </c>
      <c r="AR913" t="s">
        <v>13792</v>
      </c>
      <c r="AS913" t="s">
        <v>74</v>
      </c>
      <c r="AT913" t="s">
        <v>74</v>
      </c>
      <c r="AU913">
        <v>2007</v>
      </c>
      <c r="AV913">
        <v>25</v>
      </c>
      <c r="AW913" t="s">
        <v>74</v>
      </c>
      <c r="AX913" t="s">
        <v>74</v>
      </c>
      <c r="AY913" t="s">
        <v>74</v>
      </c>
      <c r="AZ913" t="s">
        <v>74</v>
      </c>
      <c r="BA913" t="s">
        <v>74</v>
      </c>
      <c r="BB913">
        <v>175</v>
      </c>
      <c r="BC913">
        <v>178</v>
      </c>
      <c r="BD913" t="s">
        <v>74</v>
      </c>
      <c r="BE913" t="s">
        <v>14099</v>
      </c>
      <c r="BF913" t="str">
        <f>HYPERLINK("http://dx.doi.org/10.1051/eas:2007091","http://dx.doi.org/10.1051/eas:2007091")</f>
        <v>http://dx.doi.org/10.1051/eas:2007091</v>
      </c>
      <c r="BG913" t="s">
        <v>74</v>
      </c>
      <c r="BH913" t="s">
        <v>74</v>
      </c>
      <c r="BI913">
        <v>4</v>
      </c>
      <c r="BJ913" t="s">
        <v>175</v>
      </c>
      <c r="BK913" t="s">
        <v>5953</v>
      </c>
      <c r="BL913" t="s">
        <v>175</v>
      </c>
      <c r="BM913" t="s">
        <v>13794</v>
      </c>
      <c r="BN913" t="s">
        <v>74</v>
      </c>
      <c r="BO913" t="s">
        <v>74</v>
      </c>
      <c r="BP913" t="s">
        <v>74</v>
      </c>
      <c r="BQ913" t="s">
        <v>74</v>
      </c>
      <c r="BR913" t="s">
        <v>101</v>
      </c>
      <c r="BS913" t="s">
        <v>14100</v>
      </c>
      <c r="BT913" t="str">
        <f>HYPERLINK("https%3A%2F%2Fwww.webofscience.com%2Fwos%2Fwoscc%2Ffull-record%2FWOS:000248621600029","View Full Record in Web of Science")</f>
        <v>View Full Record in Web of Science</v>
      </c>
    </row>
    <row r="914" spans="1:72" x14ac:dyDescent="0.15">
      <c r="A914" t="s">
        <v>5932</v>
      </c>
      <c r="B914" t="s">
        <v>14101</v>
      </c>
      <c r="C914" t="s">
        <v>74</v>
      </c>
      <c r="D914" t="s">
        <v>13775</v>
      </c>
      <c r="E914" t="s">
        <v>74</v>
      </c>
      <c r="F914" t="s">
        <v>14102</v>
      </c>
      <c r="G914" t="s">
        <v>74</v>
      </c>
      <c r="H914" t="s">
        <v>74</v>
      </c>
      <c r="I914" t="s">
        <v>14103</v>
      </c>
      <c r="J914" t="s">
        <v>13778</v>
      </c>
      <c r="K914" t="s">
        <v>13779</v>
      </c>
      <c r="L914" t="s">
        <v>74</v>
      </c>
      <c r="M914" t="s">
        <v>78</v>
      </c>
      <c r="N914" t="s">
        <v>5938</v>
      </c>
      <c r="O914" t="s">
        <v>13780</v>
      </c>
      <c r="P914" t="s">
        <v>13781</v>
      </c>
      <c r="Q914" t="s">
        <v>13782</v>
      </c>
      <c r="R914" t="s">
        <v>74</v>
      </c>
      <c r="S914" t="s">
        <v>74</v>
      </c>
      <c r="T914" t="s">
        <v>74</v>
      </c>
      <c r="U914" t="s">
        <v>74</v>
      </c>
      <c r="V914" t="s">
        <v>14104</v>
      </c>
      <c r="W914" t="s">
        <v>14105</v>
      </c>
      <c r="X914" t="s">
        <v>13785</v>
      </c>
      <c r="Y914" t="s">
        <v>14106</v>
      </c>
      <c r="Z914" t="s">
        <v>74</v>
      </c>
      <c r="AA914" t="s">
        <v>74</v>
      </c>
      <c r="AB914" t="s">
        <v>74</v>
      </c>
      <c r="AC914" t="s">
        <v>74</v>
      </c>
      <c r="AD914" t="s">
        <v>74</v>
      </c>
      <c r="AE914" t="s">
        <v>74</v>
      </c>
      <c r="AF914" t="s">
        <v>74</v>
      </c>
      <c r="AG914">
        <v>2</v>
      </c>
      <c r="AH914">
        <v>1</v>
      </c>
      <c r="AI914">
        <v>1</v>
      </c>
      <c r="AJ914">
        <v>0</v>
      </c>
      <c r="AK914">
        <v>0</v>
      </c>
      <c r="AL914" t="s">
        <v>13787</v>
      </c>
      <c r="AM914" t="s">
        <v>13788</v>
      </c>
      <c r="AN914" t="s">
        <v>13789</v>
      </c>
      <c r="AO914" t="s">
        <v>13790</v>
      </c>
      <c r="AP914" t="s">
        <v>74</v>
      </c>
      <c r="AQ914" t="s">
        <v>13791</v>
      </c>
      <c r="AR914" t="s">
        <v>13792</v>
      </c>
      <c r="AS914" t="s">
        <v>74</v>
      </c>
      <c r="AT914" t="s">
        <v>74</v>
      </c>
      <c r="AU914">
        <v>2007</v>
      </c>
      <c r="AV914">
        <v>25</v>
      </c>
      <c r="AW914" t="s">
        <v>74</v>
      </c>
      <c r="AX914" t="s">
        <v>74</v>
      </c>
      <c r="AY914" t="s">
        <v>74</v>
      </c>
      <c r="AZ914" t="s">
        <v>74</v>
      </c>
      <c r="BA914" t="s">
        <v>74</v>
      </c>
      <c r="BB914">
        <v>179</v>
      </c>
      <c r="BC914">
        <v>182</v>
      </c>
      <c r="BD914" t="s">
        <v>74</v>
      </c>
      <c r="BE914" t="s">
        <v>14107</v>
      </c>
      <c r="BF914" t="str">
        <f>HYPERLINK("http://dx.doi.org/10.1051/eas:2007092","http://dx.doi.org/10.1051/eas:2007092")</f>
        <v>http://dx.doi.org/10.1051/eas:2007092</v>
      </c>
      <c r="BG914" t="s">
        <v>74</v>
      </c>
      <c r="BH914" t="s">
        <v>74</v>
      </c>
      <c r="BI914">
        <v>4</v>
      </c>
      <c r="BJ914" t="s">
        <v>175</v>
      </c>
      <c r="BK914" t="s">
        <v>5953</v>
      </c>
      <c r="BL914" t="s">
        <v>175</v>
      </c>
      <c r="BM914" t="s">
        <v>13794</v>
      </c>
      <c r="BN914" t="s">
        <v>74</v>
      </c>
      <c r="BO914" t="s">
        <v>74</v>
      </c>
      <c r="BP914" t="s">
        <v>74</v>
      </c>
      <c r="BQ914" t="s">
        <v>74</v>
      </c>
      <c r="BR914" t="s">
        <v>101</v>
      </c>
      <c r="BS914" t="s">
        <v>14108</v>
      </c>
      <c r="BT914" t="str">
        <f>HYPERLINK("https%3A%2F%2Fwww.webofscience.com%2Fwos%2Fwoscc%2Ffull-record%2FWOS:000248621600030","View Full Record in Web of Science")</f>
        <v>View Full Record in Web of Science</v>
      </c>
    </row>
    <row r="915" spans="1:72" x14ac:dyDescent="0.15">
      <c r="A915" t="s">
        <v>5932</v>
      </c>
      <c r="B915" t="s">
        <v>14109</v>
      </c>
      <c r="C915" t="s">
        <v>74</v>
      </c>
      <c r="D915" t="s">
        <v>13775</v>
      </c>
      <c r="E915" t="s">
        <v>74</v>
      </c>
      <c r="F915" t="s">
        <v>14110</v>
      </c>
      <c r="G915" t="s">
        <v>74</v>
      </c>
      <c r="H915" t="s">
        <v>74</v>
      </c>
      <c r="I915" t="s">
        <v>14111</v>
      </c>
      <c r="J915" t="s">
        <v>13778</v>
      </c>
      <c r="K915" t="s">
        <v>13779</v>
      </c>
      <c r="L915" t="s">
        <v>74</v>
      </c>
      <c r="M915" t="s">
        <v>78</v>
      </c>
      <c r="N915" t="s">
        <v>5938</v>
      </c>
      <c r="O915" t="s">
        <v>13780</v>
      </c>
      <c r="P915" t="s">
        <v>13781</v>
      </c>
      <c r="Q915" t="s">
        <v>13782</v>
      </c>
      <c r="R915" t="s">
        <v>74</v>
      </c>
      <c r="S915" t="s">
        <v>74</v>
      </c>
      <c r="T915" t="s">
        <v>74</v>
      </c>
      <c r="U915" t="s">
        <v>74</v>
      </c>
      <c r="V915" t="s">
        <v>14112</v>
      </c>
      <c r="W915" t="s">
        <v>14113</v>
      </c>
      <c r="X915" t="s">
        <v>74</v>
      </c>
      <c r="Y915" t="s">
        <v>14114</v>
      </c>
      <c r="Z915" t="s">
        <v>74</v>
      </c>
      <c r="AA915" t="s">
        <v>74</v>
      </c>
      <c r="AB915" t="s">
        <v>74</v>
      </c>
      <c r="AC915" t="s">
        <v>74</v>
      </c>
      <c r="AD915" t="s">
        <v>74</v>
      </c>
      <c r="AE915" t="s">
        <v>74</v>
      </c>
      <c r="AF915" t="s">
        <v>74</v>
      </c>
      <c r="AG915">
        <v>11</v>
      </c>
      <c r="AH915">
        <v>5</v>
      </c>
      <c r="AI915">
        <v>5</v>
      </c>
      <c r="AJ915">
        <v>0</v>
      </c>
      <c r="AK915">
        <v>1</v>
      </c>
      <c r="AL915" t="s">
        <v>13787</v>
      </c>
      <c r="AM915" t="s">
        <v>13788</v>
      </c>
      <c r="AN915" t="s">
        <v>13789</v>
      </c>
      <c r="AO915" t="s">
        <v>13790</v>
      </c>
      <c r="AP915" t="s">
        <v>74</v>
      </c>
      <c r="AQ915" t="s">
        <v>13791</v>
      </c>
      <c r="AR915" t="s">
        <v>13792</v>
      </c>
      <c r="AS915" t="s">
        <v>74</v>
      </c>
      <c r="AT915" t="s">
        <v>74</v>
      </c>
      <c r="AU915">
        <v>2007</v>
      </c>
      <c r="AV915">
        <v>25</v>
      </c>
      <c r="AW915" t="s">
        <v>74</v>
      </c>
      <c r="AX915" t="s">
        <v>74</v>
      </c>
      <c r="AY915" t="s">
        <v>74</v>
      </c>
      <c r="AZ915" t="s">
        <v>74</v>
      </c>
      <c r="BA915" t="s">
        <v>74</v>
      </c>
      <c r="BB915">
        <v>183</v>
      </c>
      <c r="BC915">
        <v>186</v>
      </c>
      <c r="BD915" t="s">
        <v>74</v>
      </c>
      <c r="BE915" t="s">
        <v>14115</v>
      </c>
      <c r="BF915" t="str">
        <f>HYPERLINK("http://dx.doi.org/10.1051/eas:2007093","http://dx.doi.org/10.1051/eas:2007093")</f>
        <v>http://dx.doi.org/10.1051/eas:2007093</v>
      </c>
      <c r="BG915" t="s">
        <v>74</v>
      </c>
      <c r="BH915" t="s">
        <v>74</v>
      </c>
      <c r="BI915">
        <v>4</v>
      </c>
      <c r="BJ915" t="s">
        <v>175</v>
      </c>
      <c r="BK915" t="s">
        <v>5953</v>
      </c>
      <c r="BL915" t="s">
        <v>175</v>
      </c>
      <c r="BM915" t="s">
        <v>13794</v>
      </c>
      <c r="BN915" t="s">
        <v>74</v>
      </c>
      <c r="BO915" t="s">
        <v>74</v>
      </c>
      <c r="BP915" t="s">
        <v>74</v>
      </c>
      <c r="BQ915" t="s">
        <v>74</v>
      </c>
      <c r="BR915" t="s">
        <v>101</v>
      </c>
      <c r="BS915" t="s">
        <v>14116</v>
      </c>
      <c r="BT915" t="str">
        <f>HYPERLINK("https%3A%2F%2Fwww.webofscience.com%2Fwos%2Fwoscc%2Ffull-record%2FWOS:000248621600031","View Full Record in Web of Science")</f>
        <v>View Full Record in Web of Science</v>
      </c>
    </row>
    <row r="916" spans="1:72" x14ac:dyDescent="0.15">
      <c r="A916" t="s">
        <v>5932</v>
      </c>
      <c r="B916" t="s">
        <v>14117</v>
      </c>
      <c r="C916" t="s">
        <v>74</v>
      </c>
      <c r="D916" t="s">
        <v>13775</v>
      </c>
      <c r="E916" t="s">
        <v>74</v>
      </c>
      <c r="F916" t="s">
        <v>14118</v>
      </c>
      <c r="G916" t="s">
        <v>74</v>
      </c>
      <c r="H916" t="s">
        <v>74</v>
      </c>
      <c r="I916" t="s">
        <v>14119</v>
      </c>
      <c r="J916" t="s">
        <v>13778</v>
      </c>
      <c r="K916" t="s">
        <v>13779</v>
      </c>
      <c r="L916" t="s">
        <v>74</v>
      </c>
      <c r="M916" t="s">
        <v>78</v>
      </c>
      <c r="N916" t="s">
        <v>5938</v>
      </c>
      <c r="O916" t="s">
        <v>13780</v>
      </c>
      <c r="P916" t="s">
        <v>13781</v>
      </c>
      <c r="Q916" t="s">
        <v>13782</v>
      </c>
      <c r="R916" t="s">
        <v>74</v>
      </c>
      <c r="S916" t="s">
        <v>74</v>
      </c>
      <c r="T916" t="s">
        <v>74</v>
      </c>
      <c r="U916" t="s">
        <v>14120</v>
      </c>
      <c r="V916" t="s">
        <v>14121</v>
      </c>
      <c r="W916" t="s">
        <v>14122</v>
      </c>
      <c r="X916" t="s">
        <v>14123</v>
      </c>
      <c r="Y916" t="s">
        <v>14124</v>
      </c>
      <c r="Z916" t="s">
        <v>74</v>
      </c>
      <c r="AA916" t="s">
        <v>74</v>
      </c>
      <c r="AB916" t="s">
        <v>74</v>
      </c>
      <c r="AC916" t="s">
        <v>74</v>
      </c>
      <c r="AD916" t="s">
        <v>74</v>
      </c>
      <c r="AE916" t="s">
        <v>74</v>
      </c>
      <c r="AF916" t="s">
        <v>74</v>
      </c>
      <c r="AG916">
        <v>4</v>
      </c>
      <c r="AH916">
        <v>0</v>
      </c>
      <c r="AI916">
        <v>0</v>
      </c>
      <c r="AJ916">
        <v>0</v>
      </c>
      <c r="AK916">
        <v>0</v>
      </c>
      <c r="AL916" t="s">
        <v>13787</v>
      </c>
      <c r="AM916" t="s">
        <v>13788</v>
      </c>
      <c r="AN916" t="s">
        <v>13789</v>
      </c>
      <c r="AO916" t="s">
        <v>13790</v>
      </c>
      <c r="AP916" t="s">
        <v>74</v>
      </c>
      <c r="AQ916" t="s">
        <v>13791</v>
      </c>
      <c r="AR916" t="s">
        <v>13792</v>
      </c>
      <c r="AS916" t="s">
        <v>74</v>
      </c>
      <c r="AT916" t="s">
        <v>74</v>
      </c>
      <c r="AU916">
        <v>2007</v>
      </c>
      <c r="AV916">
        <v>25</v>
      </c>
      <c r="AW916" t="s">
        <v>74</v>
      </c>
      <c r="AX916" t="s">
        <v>74</v>
      </c>
      <c r="AY916" t="s">
        <v>74</v>
      </c>
      <c r="AZ916" t="s">
        <v>74</v>
      </c>
      <c r="BA916" t="s">
        <v>74</v>
      </c>
      <c r="BB916">
        <v>187</v>
      </c>
      <c r="BC916">
        <v>198</v>
      </c>
      <c r="BD916" t="s">
        <v>74</v>
      </c>
      <c r="BE916" t="s">
        <v>14125</v>
      </c>
      <c r="BF916" t="str">
        <f>HYPERLINK("http://dx.doi.org/10.1051/eas:2007094","http://dx.doi.org/10.1051/eas:2007094")</f>
        <v>http://dx.doi.org/10.1051/eas:2007094</v>
      </c>
      <c r="BG916" t="s">
        <v>74</v>
      </c>
      <c r="BH916" t="s">
        <v>74</v>
      </c>
      <c r="BI916">
        <v>12</v>
      </c>
      <c r="BJ916" t="s">
        <v>175</v>
      </c>
      <c r="BK916" t="s">
        <v>5953</v>
      </c>
      <c r="BL916" t="s">
        <v>175</v>
      </c>
      <c r="BM916" t="s">
        <v>13794</v>
      </c>
      <c r="BN916" t="s">
        <v>74</v>
      </c>
      <c r="BO916" t="s">
        <v>74</v>
      </c>
      <c r="BP916" t="s">
        <v>74</v>
      </c>
      <c r="BQ916" t="s">
        <v>74</v>
      </c>
      <c r="BR916" t="s">
        <v>101</v>
      </c>
      <c r="BS916" t="s">
        <v>14126</v>
      </c>
      <c r="BT916" t="str">
        <f>HYPERLINK("https%3A%2F%2Fwww.webofscience.com%2Fwos%2Fwoscc%2Ffull-record%2FWOS:000248621600032","View Full Record in Web of Science")</f>
        <v>View Full Record in Web of Science</v>
      </c>
    </row>
    <row r="917" spans="1:72" x14ac:dyDescent="0.15">
      <c r="A917" t="s">
        <v>5932</v>
      </c>
      <c r="B917" t="s">
        <v>14127</v>
      </c>
      <c r="C917" t="s">
        <v>74</v>
      </c>
      <c r="D917" t="s">
        <v>13775</v>
      </c>
      <c r="E917" t="s">
        <v>74</v>
      </c>
      <c r="F917" t="s">
        <v>14128</v>
      </c>
      <c r="G917" t="s">
        <v>74</v>
      </c>
      <c r="H917" t="s">
        <v>74</v>
      </c>
      <c r="I917" t="s">
        <v>14129</v>
      </c>
      <c r="J917" t="s">
        <v>13778</v>
      </c>
      <c r="K917" t="s">
        <v>13779</v>
      </c>
      <c r="L917" t="s">
        <v>74</v>
      </c>
      <c r="M917" t="s">
        <v>78</v>
      </c>
      <c r="N917" t="s">
        <v>5938</v>
      </c>
      <c r="O917" t="s">
        <v>13780</v>
      </c>
      <c r="P917" t="s">
        <v>13781</v>
      </c>
      <c r="Q917" t="s">
        <v>13782</v>
      </c>
      <c r="R917" t="s">
        <v>74</v>
      </c>
      <c r="S917" t="s">
        <v>74</v>
      </c>
      <c r="T917" t="s">
        <v>74</v>
      </c>
      <c r="U917" t="s">
        <v>13851</v>
      </c>
      <c r="V917" t="s">
        <v>14130</v>
      </c>
      <c r="W917" t="s">
        <v>14131</v>
      </c>
      <c r="X917" t="s">
        <v>14132</v>
      </c>
      <c r="Y917" t="s">
        <v>14133</v>
      </c>
      <c r="Z917" t="s">
        <v>74</v>
      </c>
      <c r="AA917" t="s">
        <v>14134</v>
      </c>
      <c r="AB917" t="s">
        <v>14135</v>
      </c>
      <c r="AC917" t="s">
        <v>74</v>
      </c>
      <c r="AD917" t="s">
        <v>74</v>
      </c>
      <c r="AE917" t="s">
        <v>74</v>
      </c>
      <c r="AF917" t="s">
        <v>74</v>
      </c>
      <c r="AG917">
        <v>6</v>
      </c>
      <c r="AH917">
        <v>1</v>
      </c>
      <c r="AI917">
        <v>1</v>
      </c>
      <c r="AJ917">
        <v>0</v>
      </c>
      <c r="AK917">
        <v>0</v>
      </c>
      <c r="AL917" t="s">
        <v>13787</v>
      </c>
      <c r="AM917" t="s">
        <v>13788</v>
      </c>
      <c r="AN917" t="s">
        <v>13789</v>
      </c>
      <c r="AO917" t="s">
        <v>13790</v>
      </c>
      <c r="AP917" t="s">
        <v>74</v>
      </c>
      <c r="AQ917" t="s">
        <v>13791</v>
      </c>
      <c r="AR917" t="s">
        <v>13792</v>
      </c>
      <c r="AS917" t="s">
        <v>74</v>
      </c>
      <c r="AT917" t="s">
        <v>74</v>
      </c>
      <c r="AU917">
        <v>2007</v>
      </c>
      <c r="AV917">
        <v>25</v>
      </c>
      <c r="AW917" t="s">
        <v>74</v>
      </c>
      <c r="AX917" t="s">
        <v>74</v>
      </c>
      <c r="AY917" t="s">
        <v>74</v>
      </c>
      <c r="AZ917" t="s">
        <v>74</v>
      </c>
      <c r="BA917" t="s">
        <v>74</v>
      </c>
      <c r="BB917">
        <v>201</v>
      </c>
      <c r="BC917">
        <v>208</v>
      </c>
      <c r="BD917" t="s">
        <v>74</v>
      </c>
      <c r="BE917" t="s">
        <v>14136</v>
      </c>
      <c r="BF917" t="str">
        <f>HYPERLINK("http://dx.doi.org/10.1051/eas:2007095","http://dx.doi.org/10.1051/eas:2007095")</f>
        <v>http://dx.doi.org/10.1051/eas:2007095</v>
      </c>
      <c r="BG917" t="s">
        <v>74</v>
      </c>
      <c r="BH917" t="s">
        <v>74</v>
      </c>
      <c r="BI917">
        <v>8</v>
      </c>
      <c r="BJ917" t="s">
        <v>175</v>
      </c>
      <c r="BK917" t="s">
        <v>5953</v>
      </c>
      <c r="BL917" t="s">
        <v>175</v>
      </c>
      <c r="BM917" t="s">
        <v>13794</v>
      </c>
      <c r="BN917" t="s">
        <v>74</v>
      </c>
      <c r="BO917" t="s">
        <v>74</v>
      </c>
      <c r="BP917" t="s">
        <v>74</v>
      </c>
      <c r="BQ917" t="s">
        <v>74</v>
      </c>
      <c r="BR917" t="s">
        <v>101</v>
      </c>
      <c r="BS917" t="s">
        <v>14137</v>
      </c>
      <c r="BT917" t="str">
        <f>HYPERLINK("https%3A%2F%2Fwww.webofscience.com%2Fwos%2Fwoscc%2Ffull-record%2FWOS:000248621600033","View Full Record in Web of Science")</f>
        <v>View Full Record in Web of Science</v>
      </c>
    </row>
    <row r="918" spans="1:72" x14ac:dyDescent="0.15">
      <c r="A918" t="s">
        <v>5932</v>
      </c>
      <c r="B918" t="s">
        <v>14138</v>
      </c>
      <c r="C918" t="s">
        <v>74</v>
      </c>
      <c r="D918" t="s">
        <v>13775</v>
      </c>
      <c r="E918" t="s">
        <v>74</v>
      </c>
      <c r="F918" t="s">
        <v>14139</v>
      </c>
      <c r="G918" t="s">
        <v>74</v>
      </c>
      <c r="H918" t="s">
        <v>14140</v>
      </c>
      <c r="I918" t="s">
        <v>14141</v>
      </c>
      <c r="J918" t="s">
        <v>13778</v>
      </c>
      <c r="K918" t="s">
        <v>13779</v>
      </c>
      <c r="L918" t="s">
        <v>74</v>
      </c>
      <c r="M918" t="s">
        <v>78</v>
      </c>
      <c r="N918" t="s">
        <v>5938</v>
      </c>
      <c r="O918" t="s">
        <v>13780</v>
      </c>
      <c r="P918" t="s">
        <v>13781</v>
      </c>
      <c r="Q918" t="s">
        <v>13782</v>
      </c>
      <c r="R918" t="s">
        <v>74</v>
      </c>
      <c r="S918" t="s">
        <v>74</v>
      </c>
      <c r="T918" t="s">
        <v>74</v>
      </c>
      <c r="U918" t="s">
        <v>74</v>
      </c>
      <c r="V918" t="s">
        <v>14142</v>
      </c>
      <c r="W918" t="s">
        <v>14143</v>
      </c>
      <c r="X918" t="s">
        <v>13997</v>
      </c>
      <c r="Y918" t="s">
        <v>14144</v>
      </c>
      <c r="Z918" t="s">
        <v>74</v>
      </c>
      <c r="AA918" t="s">
        <v>14145</v>
      </c>
      <c r="AB918" t="s">
        <v>14146</v>
      </c>
      <c r="AC918" t="s">
        <v>74</v>
      </c>
      <c r="AD918" t="s">
        <v>74</v>
      </c>
      <c r="AE918" t="s">
        <v>74</v>
      </c>
      <c r="AF918" t="s">
        <v>74</v>
      </c>
      <c r="AG918">
        <v>2</v>
      </c>
      <c r="AH918">
        <v>7</v>
      </c>
      <c r="AI918">
        <v>7</v>
      </c>
      <c r="AJ918">
        <v>0</v>
      </c>
      <c r="AK918">
        <v>2</v>
      </c>
      <c r="AL918" t="s">
        <v>13787</v>
      </c>
      <c r="AM918" t="s">
        <v>13788</v>
      </c>
      <c r="AN918" t="s">
        <v>13789</v>
      </c>
      <c r="AO918" t="s">
        <v>13790</v>
      </c>
      <c r="AP918" t="s">
        <v>74</v>
      </c>
      <c r="AQ918" t="s">
        <v>13791</v>
      </c>
      <c r="AR918" t="s">
        <v>13792</v>
      </c>
      <c r="AS918" t="s">
        <v>74</v>
      </c>
      <c r="AT918" t="s">
        <v>74</v>
      </c>
      <c r="AU918">
        <v>2007</v>
      </c>
      <c r="AV918">
        <v>25</v>
      </c>
      <c r="AW918" t="s">
        <v>74</v>
      </c>
      <c r="AX918" t="s">
        <v>74</v>
      </c>
      <c r="AY918" t="s">
        <v>74</v>
      </c>
      <c r="AZ918" t="s">
        <v>74</v>
      </c>
      <c r="BA918" t="s">
        <v>74</v>
      </c>
      <c r="BB918">
        <v>209</v>
      </c>
      <c r="BC918">
        <v>214</v>
      </c>
      <c r="BD918" t="s">
        <v>74</v>
      </c>
      <c r="BE918" t="s">
        <v>14147</v>
      </c>
      <c r="BF918" t="str">
        <f>HYPERLINK("http://dx.doi.org/10.1051/eas:2007096","http://dx.doi.org/10.1051/eas:2007096")</f>
        <v>http://dx.doi.org/10.1051/eas:2007096</v>
      </c>
      <c r="BG918" t="s">
        <v>74</v>
      </c>
      <c r="BH918" t="s">
        <v>74</v>
      </c>
      <c r="BI918">
        <v>6</v>
      </c>
      <c r="BJ918" t="s">
        <v>175</v>
      </c>
      <c r="BK918" t="s">
        <v>5953</v>
      </c>
      <c r="BL918" t="s">
        <v>175</v>
      </c>
      <c r="BM918" t="s">
        <v>13794</v>
      </c>
      <c r="BN918" t="s">
        <v>74</v>
      </c>
      <c r="BO918" t="s">
        <v>74</v>
      </c>
      <c r="BP918" t="s">
        <v>74</v>
      </c>
      <c r="BQ918" t="s">
        <v>74</v>
      </c>
      <c r="BR918" t="s">
        <v>101</v>
      </c>
      <c r="BS918" t="s">
        <v>14148</v>
      </c>
      <c r="BT918" t="str">
        <f>HYPERLINK("https%3A%2F%2Fwww.webofscience.com%2Fwos%2Fwoscc%2Ffull-record%2FWOS:000248621600034","View Full Record in Web of Science")</f>
        <v>View Full Record in Web of Science</v>
      </c>
    </row>
    <row r="919" spans="1:72" x14ac:dyDescent="0.15">
      <c r="A919" t="s">
        <v>5932</v>
      </c>
      <c r="B919" t="s">
        <v>14149</v>
      </c>
      <c r="C919" t="s">
        <v>74</v>
      </c>
      <c r="D919" t="s">
        <v>13775</v>
      </c>
      <c r="E919" t="s">
        <v>74</v>
      </c>
      <c r="F919" t="s">
        <v>14150</v>
      </c>
      <c r="G919" t="s">
        <v>74</v>
      </c>
      <c r="H919" t="s">
        <v>74</v>
      </c>
      <c r="I919" t="s">
        <v>14151</v>
      </c>
      <c r="J919" t="s">
        <v>13778</v>
      </c>
      <c r="K919" t="s">
        <v>13779</v>
      </c>
      <c r="L919" t="s">
        <v>74</v>
      </c>
      <c r="M919" t="s">
        <v>78</v>
      </c>
      <c r="N919" t="s">
        <v>5938</v>
      </c>
      <c r="O919" t="s">
        <v>13780</v>
      </c>
      <c r="P919" t="s">
        <v>13781</v>
      </c>
      <c r="Q919" t="s">
        <v>13782</v>
      </c>
      <c r="R919" t="s">
        <v>74</v>
      </c>
      <c r="S919" t="s">
        <v>74</v>
      </c>
      <c r="T919" t="s">
        <v>74</v>
      </c>
      <c r="U919" t="s">
        <v>13829</v>
      </c>
      <c r="V919" t="s">
        <v>14152</v>
      </c>
      <c r="W919" t="s">
        <v>14153</v>
      </c>
      <c r="X919" t="s">
        <v>13811</v>
      </c>
      <c r="Y919" t="s">
        <v>14154</v>
      </c>
      <c r="Z919" t="s">
        <v>74</v>
      </c>
      <c r="AA919" t="s">
        <v>14155</v>
      </c>
      <c r="AB919" t="s">
        <v>14156</v>
      </c>
      <c r="AC919" t="s">
        <v>74</v>
      </c>
      <c r="AD919" t="s">
        <v>74</v>
      </c>
      <c r="AE919" t="s">
        <v>74</v>
      </c>
      <c r="AF919" t="s">
        <v>74</v>
      </c>
      <c r="AG919">
        <v>4</v>
      </c>
      <c r="AH919">
        <v>11</v>
      </c>
      <c r="AI919">
        <v>12</v>
      </c>
      <c r="AJ919">
        <v>0</v>
      </c>
      <c r="AK919">
        <v>2</v>
      </c>
      <c r="AL919" t="s">
        <v>13787</v>
      </c>
      <c r="AM919" t="s">
        <v>13788</v>
      </c>
      <c r="AN919" t="s">
        <v>13789</v>
      </c>
      <c r="AO919" t="s">
        <v>13790</v>
      </c>
      <c r="AP919" t="s">
        <v>74</v>
      </c>
      <c r="AQ919" t="s">
        <v>13791</v>
      </c>
      <c r="AR919" t="s">
        <v>13792</v>
      </c>
      <c r="AS919" t="s">
        <v>74</v>
      </c>
      <c r="AT919" t="s">
        <v>74</v>
      </c>
      <c r="AU919">
        <v>2007</v>
      </c>
      <c r="AV919">
        <v>25</v>
      </c>
      <c r="AW919" t="s">
        <v>74</v>
      </c>
      <c r="AX919" t="s">
        <v>74</v>
      </c>
      <c r="AY919" t="s">
        <v>74</v>
      </c>
      <c r="AZ919" t="s">
        <v>74</v>
      </c>
      <c r="BA919" t="s">
        <v>74</v>
      </c>
      <c r="BB919">
        <v>215</v>
      </c>
      <c r="BC919">
        <v>220</v>
      </c>
      <c r="BD919" t="s">
        <v>74</v>
      </c>
      <c r="BE919" t="s">
        <v>14157</v>
      </c>
      <c r="BF919" t="str">
        <f>HYPERLINK("http://dx.doi.org/10.1051/eas:2007097","http://dx.doi.org/10.1051/eas:2007097")</f>
        <v>http://dx.doi.org/10.1051/eas:2007097</v>
      </c>
      <c r="BG919" t="s">
        <v>74</v>
      </c>
      <c r="BH919" t="s">
        <v>74</v>
      </c>
      <c r="BI919">
        <v>6</v>
      </c>
      <c r="BJ919" t="s">
        <v>175</v>
      </c>
      <c r="BK919" t="s">
        <v>5953</v>
      </c>
      <c r="BL919" t="s">
        <v>175</v>
      </c>
      <c r="BM919" t="s">
        <v>13794</v>
      </c>
      <c r="BN919" t="s">
        <v>74</v>
      </c>
      <c r="BO919" t="s">
        <v>74</v>
      </c>
      <c r="BP919" t="s">
        <v>74</v>
      </c>
      <c r="BQ919" t="s">
        <v>74</v>
      </c>
      <c r="BR919" t="s">
        <v>101</v>
      </c>
      <c r="BS919" t="s">
        <v>14158</v>
      </c>
      <c r="BT919" t="str">
        <f>HYPERLINK("https%3A%2F%2Fwww.webofscience.com%2Fwos%2Fwoscc%2Ffull-record%2FWOS:000248621600035","View Full Record in Web of Science")</f>
        <v>View Full Record in Web of Science</v>
      </c>
    </row>
    <row r="920" spans="1:72" x14ac:dyDescent="0.15">
      <c r="A920" t="s">
        <v>5932</v>
      </c>
      <c r="B920" t="s">
        <v>14159</v>
      </c>
      <c r="C920" t="s">
        <v>74</v>
      </c>
      <c r="D920" t="s">
        <v>13775</v>
      </c>
      <c r="E920" t="s">
        <v>74</v>
      </c>
      <c r="F920" t="s">
        <v>14160</v>
      </c>
      <c r="G920" t="s">
        <v>74</v>
      </c>
      <c r="H920" t="s">
        <v>14161</v>
      </c>
      <c r="I920" t="s">
        <v>14162</v>
      </c>
      <c r="J920" t="s">
        <v>13778</v>
      </c>
      <c r="K920" t="s">
        <v>13779</v>
      </c>
      <c r="L920" t="s">
        <v>74</v>
      </c>
      <c r="M920" t="s">
        <v>78</v>
      </c>
      <c r="N920" t="s">
        <v>5938</v>
      </c>
      <c r="O920" t="s">
        <v>13780</v>
      </c>
      <c r="P920" t="s">
        <v>13781</v>
      </c>
      <c r="Q920" t="s">
        <v>13782</v>
      </c>
      <c r="R920" t="s">
        <v>74</v>
      </c>
      <c r="S920" t="s">
        <v>74</v>
      </c>
      <c r="T920" t="s">
        <v>74</v>
      </c>
      <c r="U920" t="s">
        <v>74</v>
      </c>
      <c r="V920" t="s">
        <v>14163</v>
      </c>
      <c r="W920" t="s">
        <v>14164</v>
      </c>
      <c r="X920" t="s">
        <v>14165</v>
      </c>
      <c r="Y920" t="s">
        <v>14166</v>
      </c>
      <c r="Z920" t="s">
        <v>74</v>
      </c>
      <c r="AA920" t="s">
        <v>14167</v>
      </c>
      <c r="AB920" t="s">
        <v>14168</v>
      </c>
      <c r="AC920" t="s">
        <v>74</v>
      </c>
      <c r="AD920" t="s">
        <v>74</v>
      </c>
      <c r="AE920" t="s">
        <v>74</v>
      </c>
      <c r="AF920" t="s">
        <v>74</v>
      </c>
      <c r="AG920">
        <v>1</v>
      </c>
      <c r="AH920">
        <v>0</v>
      </c>
      <c r="AI920">
        <v>0</v>
      </c>
      <c r="AJ920">
        <v>0</v>
      </c>
      <c r="AK920">
        <v>2</v>
      </c>
      <c r="AL920" t="s">
        <v>13787</v>
      </c>
      <c r="AM920" t="s">
        <v>13788</v>
      </c>
      <c r="AN920" t="s">
        <v>13789</v>
      </c>
      <c r="AO920" t="s">
        <v>13790</v>
      </c>
      <c r="AP920" t="s">
        <v>74</v>
      </c>
      <c r="AQ920" t="s">
        <v>13791</v>
      </c>
      <c r="AR920" t="s">
        <v>13792</v>
      </c>
      <c r="AS920" t="s">
        <v>74</v>
      </c>
      <c r="AT920" t="s">
        <v>74</v>
      </c>
      <c r="AU920">
        <v>2007</v>
      </c>
      <c r="AV920">
        <v>25</v>
      </c>
      <c r="AW920" t="s">
        <v>74</v>
      </c>
      <c r="AX920" t="s">
        <v>74</v>
      </c>
      <c r="AY920" t="s">
        <v>74</v>
      </c>
      <c r="AZ920" t="s">
        <v>74</v>
      </c>
      <c r="BA920" t="s">
        <v>74</v>
      </c>
      <c r="BB920">
        <v>221</v>
      </c>
      <c r="BC920">
        <v>224</v>
      </c>
      <c r="BD920" t="s">
        <v>74</v>
      </c>
      <c r="BE920" t="s">
        <v>14169</v>
      </c>
      <c r="BF920" t="str">
        <f>HYPERLINK("http://dx.doi.org/10.1051/eas:2007098","http://dx.doi.org/10.1051/eas:2007098")</f>
        <v>http://dx.doi.org/10.1051/eas:2007098</v>
      </c>
      <c r="BG920" t="s">
        <v>74</v>
      </c>
      <c r="BH920" t="s">
        <v>74</v>
      </c>
      <c r="BI920">
        <v>4</v>
      </c>
      <c r="BJ920" t="s">
        <v>175</v>
      </c>
      <c r="BK920" t="s">
        <v>5953</v>
      </c>
      <c r="BL920" t="s">
        <v>175</v>
      </c>
      <c r="BM920" t="s">
        <v>13794</v>
      </c>
      <c r="BN920" t="s">
        <v>74</v>
      </c>
      <c r="BO920" t="s">
        <v>74</v>
      </c>
      <c r="BP920" t="s">
        <v>74</v>
      </c>
      <c r="BQ920" t="s">
        <v>74</v>
      </c>
      <c r="BR920" t="s">
        <v>101</v>
      </c>
      <c r="BS920" t="s">
        <v>14170</v>
      </c>
      <c r="BT920" t="str">
        <f>HYPERLINK("https%3A%2F%2Fwww.webofscience.com%2Fwos%2Fwoscc%2Ffull-record%2FWOS:000248621600036","View Full Record in Web of Science")</f>
        <v>View Full Record in Web of Science</v>
      </c>
    </row>
    <row r="921" spans="1:72" x14ac:dyDescent="0.15">
      <c r="A921" t="s">
        <v>5932</v>
      </c>
      <c r="B921" t="s">
        <v>14171</v>
      </c>
      <c r="C921" t="s">
        <v>74</v>
      </c>
      <c r="D921" t="s">
        <v>13775</v>
      </c>
      <c r="E921" t="s">
        <v>74</v>
      </c>
      <c r="F921" t="s">
        <v>14172</v>
      </c>
      <c r="G921" t="s">
        <v>74</v>
      </c>
      <c r="H921" t="s">
        <v>14173</v>
      </c>
      <c r="I921" t="s">
        <v>14174</v>
      </c>
      <c r="J921" t="s">
        <v>13778</v>
      </c>
      <c r="K921" t="s">
        <v>13779</v>
      </c>
      <c r="L921" t="s">
        <v>74</v>
      </c>
      <c r="M921" t="s">
        <v>78</v>
      </c>
      <c r="N921" t="s">
        <v>5938</v>
      </c>
      <c r="O921" t="s">
        <v>13780</v>
      </c>
      <c r="P921" t="s">
        <v>13781</v>
      </c>
      <c r="Q921" t="s">
        <v>13782</v>
      </c>
      <c r="R921" t="s">
        <v>74</v>
      </c>
      <c r="S921" t="s">
        <v>74</v>
      </c>
      <c r="T921" t="s">
        <v>74</v>
      </c>
      <c r="U921" t="s">
        <v>14175</v>
      </c>
      <c r="V921" t="s">
        <v>14176</v>
      </c>
      <c r="W921" t="s">
        <v>14177</v>
      </c>
      <c r="X921" t="s">
        <v>14178</v>
      </c>
      <c r="Y921" t="s">
        <v>14179</v>
      </c>
      <c r="Z921" t="s">
        <v>74</v>
      </c>
      <c r="AA921" t="s">
        <v>14180</v>
      </c>
      <c r="AB921" t="s">
        <v>14181</v>
      </c>
      <c r="AC921" t="s">
        <v>74</v>
      </c>
      <c r="AD921" t="s">
        <v>74</v>
      </c>
      <c r="AE921" t="s">
        <v>74</v>
      </c>
      <c r="AF921" t="s">
        <v>74</v>
      </c>
      <c r="AG921">
        <v>18</v>
      </c>
      <c r="AH921">
        <v>8</v>
      </c>
      <c r="AI921">
        <v>8</v>
      </c>
      <c r="AJ921">
        <v>0</v>
      </c>
      <c r="AK921">
        <v>0</v>
      </c>
      <c r="AL921" t="s">
        <v>13787</v>
      </c>
      <c r="AM921" t="s">
        <v>13788</v>
      </c>
      <c r="AN921" t="s">
        <v>13789</v>
      </c>
      <c r="AO921" t="s">
        <v>13790</v>
      </c>
      <c r="AP921" t="s">
        <v>74</v>
      </c>
      <c r="AQ921" t="s">
        <v>13791</v>
      </c>
      <c r="AR921" t="s">
        <v>13792</v>
      </c>
      <c r="AS921" t="s">
        <v>74</v>
      </c>
      <c r="AT921" t="s">
        <v>74</v>
      </c>
      <c r="AU921">
        <v>2007</v>
      </c>
      <c r="AV921">
        <v>25</v>
      </c>
      <c r="AW921" t="s">
        <v>74</v>
      </c>
      <c r="AX921" t="s">
        <v>74</v>
      </c>
      <c r="AY921" t="s">
        <v>74</v>
      </c>
      <c r="AZ921" t="s">
        <v>74</v>
      </c>
      <c r="BA921" t="s">
        <v>74</v>
      </c>
      <c r="BB921">
        <v>225</v>
      </c>
      <c r="BC921">
        <v>232</v>
      </c>
      <c r="BD921" t="s">
        <v>74</v>
      </c>
      <c r="BE921" t="s">
        <v>14182</v>
      </c>
      <c r="BF921" t="str">
        <f>HYPERLINK("http://dx.doi.org/10.1051/eas:2007099","http://dx.doi.org/10.1051/eas:2007099")</f>
        <v>http://dx.doi.org/10.1051/eas:2007099</v>
      </c>
      <c r="BG921" t="s">
        <v>74</v>
      </c>
      <c r="BH921" t="s">
        <v>74</v>
      </c>
      <c r="BI921">
        <v>8</v>
      </c>
      <c r="BJ921" t="s">
        <v>175</v>
      </c>
      <c r="BK921" t="s">
        <v>5953</v>
      </c>
      <c r="BL921" t="s">
        <v>175</v>
      </c>
      <c r="BM921" t="s">
        <v>13794</v>
      </c>
      <c r="BN921" t="s">
        <v>74</v>
      </c>
      <c r="BO921" t="s">
        <v>74</v>
      </c>
      <c r="BP921" t="s">
        <v>74</v>
      </c>
      <c r="BQ921" t="s">
        <v>74</v>
      </c>
      <c r="BR921" t="s">
        <v>101</v>
      </c>
      <c r="BS921" t="s">
        <v>14183</v>
      </c>
      <c r="BT921" t="str">
        <f>HYPERLINK("https%3A%2F%2Fwww.webofscience.com%2Fwos%2Fwoscc%2Ffull-record%2FWOS:000248621600037","View Full Record in Web of Science")</f>
        <v>View Full Record in Web of Science</v>
      </c>
    </row>
    <row r="922" spans="1:72" x14ac:dyDescent="0.15">
      <c r="A922" t="s">
        <v>5932</v>
      </c>
      <c r="B922" t="s">
        <v>14184</v>
      </c>
      <c r="C922" t="s">
        <v>74</v>
      </c>
      <c r="D922" t="s">
        <v>13775</v>
      </c>
      <c r="E922" t="s">
        <v>74</v>
      </c>
      <c r="F922" t="s">
        <v>14185</v>
      </c>
      <c r="G922" t="s">
        <v>74</v>
      </c>
      <c r="H922" t="s">
        <v>74</v>
      </c>
      <c r="I922" t="s">
        <v>14186</v>
      </c>
      <c r="J922" t="s">
        <v>13799</v>
      </c>
      <c r="K922" t="s">
        <v>13800</v>
      </c>
      <c r="L922" t="s">
        <v>74</v>
      </c>
      <c r="M922" t="s">
        <v>78</v>
      </c>
      <c r="N922" t="s">
        <v>5938</v>
      </c>
      <c r="O922" t="s">
        <v>13780</v>
      </c>
      <c r="P922" t="s">
        <v>13781</v>
      </c>
      <c r="Q922" t="s">
        <v>13782</v>
      </c>
      <c r="R922" t="s">
        <v>74</v>
      </c>
      <c r="S922" t="s">
        <v>74</v>
      </c>
      <c r="T922" t="s">
        <v>74</v>
      </c>
      <c r="U922" t="s">
        <v>14187</v>
      </c>
      <c r="V922" t="s">
        <v>14188</v>
      </c>
      <c r="W922" t="s">
        <v>14189</v>
      </c>
      <c r="X922" t="s">
        <v>14190</v>
      </c>
      <c r="Y922" t="s">
        <v>14191</v>
      </c>
      <c r="Z922" t="s">
        <v>74</v>
      </c>
      <c r="AA922" t="s">
        <v>74</v>
      </c>
      <c r="AB922" t="s">
        <v>74</v>
      </c>
      <c r="AC922" t="s">
        <v>74</v>
      </c>
      <c r="AD922" t="s">
        <v>74</v>
      </c>
      <c r="AE922" t="s">
        <v>74</v>
      </c>
      <c r="AF922" t="s">
        <v>74</v>
      </c>
      <c r="AG922">
        <v>10</v>
      </c>
      <c r="AH922">
        <v>5</v>
      </c>
      <c r="AI922">
        <v>5</v>
      </c>
      <c r="AJ922">
        <v>0</v>
      </c>
      <c r="AK922">
        <v>0</v>
      </c>
      <c r="AL922" t="s">
        <v>13787</v>
      </c>
      <c r="AM922" t="s">
        <v>13788</v>
      </c>
      <c r="AN922" t="s">
        <v>13789</v>
      </c>
      <c r="AO922" t="s">
        <v>13790</v>
      </c>
      <c r="AP922" t="s">
        <v>74</v>
      </c>
      <c r="AQ922" t="s">
        <v>13791</v>
      </c>
      <c r="AR922" t="s">
        <v>13792</v>
      </c>
      <c r="AS922" t="s">
        <v>74</v>
      </c>
      <c r="AT922" t="s">
        <v>74</v>
      </c>
      <c r="AU922">
        <v>2007</v>
      </c>
      <c r="AV922">
        <v>25</v>
      </c>
      <c r="AW922" t="s">
        <v>74</v>
      </c>
      <c r="AX922" t="s">
        <v>74</v>
      </c>
      <c r="AY922" t="s">
        <v>74</v>
      </c>
      <c r="AZ922" t="s">
        <v>74</v>
      </c>
      <c r="BA922" t="s">
        <v>74</v>
      </c>
      <c r="BB922">
        <v>233</v>
      </c>
      <c r="BC922">
        <v>238</v>
      </c>
      <c r="BD922" t="s">
        <v>74</v>
      </c>
      <c r="BE922" t="s">
        <v>14192</v>
      </c>
      <c r="BF922" t="str">
        <f>HYPERLINK("http://dx.doi.org/10.1051/eas:2007100","http://dx.doi.org/10.1051/eas:2007100")</f>
        <v>http://dx.doi.org/10.1051/eas:2007100</v>
      </c>
      <c r="BG922" t="s">
        <v>74</v>
      </c>
      <c r="BH922" t="s">
        <v>74</v>
      </c>
      <c r="BI922">
        <v>6</v>
      </c>
      <c r="BJ922" t="s">
        <v>175</v>
      </c>
      <c r="BK922" t="s">
        <v>5953</v>
      </c>
      <c r="BL922" t="s">
        <v>175</v>
      </c>
      <c r="BM922" t="s">
        <v>13794</v>
      </c>
      <c r="BN922" t="s">
        <v>74</v>
      </c>
      <c r="BO922" t="s">
        <v>74</v>
      </c>
      <c r="BP922" t="s">
        <v>74</v>
      </c>
      <c r="BQ922" t="s">
        <v>74</v>
      </c>
      <c r="BR922" t="s">
        <v>101</v>
      </c>
      <c r="BS922" t="s">
        <v>14193</v>
      </c>
      <c r="BT922" t="str">
        <f>HYPERLINK("https%3A%2F%2Fwww.webofscience.com%2Fwos%2Fwoscc%2Ffull-record%2FWOS:000248621600038","View Full Record in Web of Science")</f>
        <v>View Full Record in Web of Science</v>
      </c>
    </row>
    <row r="923" spans="1:72" x14ac:dyDescent="0.15">
      <c r="A923" t="s">
        <v>5932</v>
      </c>
      <c r="B923" t="s">
        <v>14194</v>
      </c>
      <c r="C923" t="s">
        <v>74</v>
      </c>
      <c r="D923" t="s">
        <v>13775</v>
      </c>
      <c r="E923" t="s">
        <v>74</v>
      </c>
      <c r="F923" t="s">
        <v>14195</v>
      </c>
      <c r="G923" t="s">
        <v>74</v>
      </c>
      <c r="H923" t="s">
        <v>14196</v>
      </c>
      <c r="I923" t="s">
        <v>14197</v>
      </c>
      <c r="J923" t="s">
        <v>13778</v>
      </c>
      <c r="K923" t="s">
        <v>13779</v>
      </c>
      <c r="L923" t="s">
        <v>74</v>
      </c>
      <c r="M923" t="s">
        <v>78</v>
      </c>
      <c r="N923" t="s">
        <v>5938</v>
      </c>
      <c r="O923" t="s">
        <v>13780</v>
      </c>
      <c r="P923" t="s">
        <v>13781</v>
      </c>
      <c r="Q923" t="s">
        <v>13782</v>
      </c>
      <c r="R923" t="s">
        <v>74</v>
      </c>
      <c r="S923" t="s">
        <v>74</v>
      </c>
      <c r="T923" t="s">
        <v>74</v>
      </c>
      <c r="U923" t="s">
        <v>74</v>
      </c>
      <c r="V923" t="s">
        <v>14198</v>
      </c>
      <c r="W923" t="s">
        <v>14199</v>
      </c>
      <c r="X923" t="s">
        <v>14200</v>
      </c>
      <c r="Y923" t="s">
        <v>14201</v>
      </c>
      <c r="Z923" t="s">
        <v>74</v>
      </c>
      <c r="AA923" t="s">
        <v>74</v>
      </c>
      <c r="AB923" t="s">
        <v>14202</v>
      </c>
      <c r="AC923" t="s">
        <v>74</v>
      </c>
      <c r="AD923" t="s">
        <v>74</v>
      </c>
      <c r="AE923" t="s">
        <v>74</v>
      </c>
      <c r="AF923" t="s">
        <v>74</v>
      </c>
      <c r="AG923">
        <v>8</v>
      </c>
      <c r="AH923">
        <v>6</v>
      </c>
      <c r="AI923">
        <v>6</v>
      </c>
      <c r="AJ923">
        <v>0</v>
      </c>
      <c r="AK923">
        <v>0</v>
      </c>
      <c r="AL923" t="s">
        <v>13787</v>
      </c>
      <c r="AM923" t="s">
        <v>13788</v>
      </c>
      <c r="AN923" t="s">
        <v>13789</v>
      </c>
      <c r="AO923" t="s">
        <v>13790</v>
      </c>
      <c r="AP923" t="s">
        <v>74</v>
      </c>
      <c r="AQ923" t="s">
        <v>13791</v>
      </c>
      <c r="AR923" t="s">
        <v>13792</v>
      </c>
      <c r="AS923" t="s">
        <v>74</v>
      </c>
      <c r="AT923" t="s">
        <v>74</v>
      </c>
      <c r="AU923">
        <v>2007</v>
      </c>
      <c r="AV923">
        <v>25</v>
      </c>
      <c r="AW923" t="s">
        <v>74</v>
      </c>
      <c r="AX923" t="s">
        <v>74</v>
      </c>
      <c r="AY923" t="s">
        <v>74</v>
      </c>
      <c r="AZ923" t="s">
        <v>74</v>
      </c>
      <c r="BA923" t="s">
        <v>74</v>
      </c>
      <c r="BB923">
        <v>239</v>
      </c>
      <c r="BC923">
        <v>244</v>
      </c>
      <c r="BD923" t="s">
        <v>74</v>
      </c>
      <c r="BE923" t="s">
        <v>14203</v>
      </c>
      <c r="BF923" t="str">
        <f>HYPERLINK("http://dx.doi.org/10.1051/eas:2007101","http://dx.doi.org/10.1051/eas:2007101")</f>
        <v>http://dx.doi.org/10.1051/eas:2007101</v>
      </c>
      <c r="BG923" t="s">
        <v>74</v>
      </c>
      <c r="BH923" t="s">
        <v>74</v>
      </c>
      <c r="BI923">
        <v>6</v>
      </c>
      <c r="BJ923" t="s">
        <v>175</v>
      </c>
      <c r="BK923" t="s">
        <v>5953</v>
      </c>
      <c r="BL923" t="s">
        <v>175</v>
      </c>
      <c r="BM923" t="s">
        <v>13794</v>
      </c>
      <c r="BN923" t="s">
        <v>74</v>
      </c>
      <c r="BO923" t="s">
        <v>74</v>
      </c>
      <c r="BP923" t="s">
        <v>74</v>
      </c>
      <c r="BQ923" t="s">
        <v>74</v>
      </c>
      <c r="BR923" t="s">
        <v>101</v>
      </c>
      <c r="BS923" t="s">
        <v>14204</v>
      </c>
      <c r="BT923" t="str">
        <f>HYPERLINK("https%3A%2F%2Fwww.webofscience.com%2Fwos%2Fwoscc%2Ffull-record%2FWOS:000248621600039","View Full Record in Web of Science")</f>
        <v>View Full Record in Web of Science</v>
      </c>
    </row>
    <row r="924" spans="1:72" x14ac:dyDescent="0.15">
      <c r="A924" t="s">
        <v>5932</v>
      </c>
      <c r="B924" t="s">
        <v>14205</v>
      </c>
      <c r="C924" t="s">
        <v>74</v>
      </c>
      <c r="D924" t="s">
        <v>13775</v>
      </c>
      <c r="E924" t="s">
        <v>74</v>
      </c>
      <c r="F924" t="s">
        <v>14206</v>
      </c>
      <c r="G924" t="s">
        <v>74</v>
      </c>
      <c r="H924" t="s">
        <v>74</v>
      </c>
      <c r="I924" t="s">
        <v>14207</v>
      </c>
      <c r="J924" t="s">
        <v>13799</v>
      </c>
      <c r="K924" t="s">
        <v>13800</v>
      </c>
      <c r="L924" t="s">
        <v>74</v>
      </c>
      <c r="M924" t="s">
        <v>78</v>
      </c>
      <c r="N924" t="s">
        <v>5938</v>
      </c>
      <c r="O924" t="s">
        <v>13780</v>
      </c>
      <c r="P924" t="s">
        <v>13781</v>
      </c>
      <c r="Q924" t="s">
        <v>13782</v>
      </c>
      <c r="R924" t="s">
        <v>74</v>
      </c>
      <c r="S924" t="s">
        <v>74</v>
      </c>
      <c r="T924" t="s">
        <v>74</v>
      </c>
      <c r="U924" t="s">
        <v>14208</v>
      </c>
      <c r="V924" t="s">
        <v>14209</v>
      </c>
      <c r="W924" t="s">
        <v>14210</v>
      </c>
      <c r="X924" t="s">
        <v>14211</v>
      </c>
      <c r="Y924" t="s">
        <v>14212</v>
      </c>
      <c r="Z924" t="s">
        <v>14213</v>
      </c>
      <c r="AA924" t="s">
        <v>74</v>
      </c>
      <c r="AB924" t="s">
        <v>74</v>
      </c>
      <c r="AC924" t="s">
        <v>74</v>
      </c>
      <c r="AD924" t="s">
        <v>74</v>
      </c>
      <c r="AE924" t="s">
        <v>74</v>
      </c>
      <c r="AF924" t="s">
        <v>74</v>
      </c>
      <c r="AG924">
        <v>5</v>
      </c>
      <c r="AH924">
        <v>4</v>
      </c>
      <c r="AI924">
        <v>4</v>
      </c>
      <c r="AJ924">
        <v>0</v>
      </c>
      <c r="AK924">
        <v>1</v>
      </c>
      <c r="AL924" t="s">
        <v>13787</v>
      </c>
      <c r="AM924" t="s">
        <v>13788</v>
      </c>
      <c r="AN924" t="s">
        <v>13789</v>
      </c>
      <c r="AO924" t="s">
        <v>13790</v>
      </c>
      <c r="AP924" t="s">
        <v>74</v>
      </c>
      <c r="AQ924" t="s">
        <v>13791</v>
      </c>
      <c r="AR924" t="s">
        <v>13792</v>
      </c>
      <c r="AS924" t="s">
        <v>74</v>
      </c>
      <c r="AT924" t="s">
        <v>74</v>
      </c>
      <c r="AU924">
        <v>2007</v>
      </c>
      <c r="AV924">
        <v>25</v>
      </c>
      <c r="AW924" t="s">
        <v>74</v>
      </c>
      <c r="AX924" t="s">
        <v>74</v>
      </c>
      <c r="AY924" t="s">
        <v>74</v>
      </c>
      <c r="AZ924" t="s">
        <v>74</v>
      </c>
      <c r="BA924" t="s">
        <v>74</v>
      </c>
      <c r="BB924">
        <v>245</v>
      </c>
      <c r="BC924">
        <v>250</v>
      </c>
      <c r="BD924" t="s">
        <v>74</v>
      </c>
      <c r="BE924" t="s">
        <v>14214</v>
      </c>
      <c r="BF924" t="str">
        <f>HYPERLINK("http://dx.doi.org/10.1051/eas:2007102","http://dx.doi.org/10.1051/eas:2007102")</f>
        <v>http://dx.doi.org/10.1051/eas:2007102</v>
      </c>
      <c r="BG924" t="s">
        <v>74</v>
      </c>
      <c r="BH924" t="s">
        <v>74</v>
      </c>
      <c r="BI924">
        <v>6</v>
      </c>
      <c r="BJ924" t="s">
        <v>175</v>
      </c>
      <c r="BK924" t="s">
        <v>5953</v>
      </c>
      <c r="BL924" t="s">
        <v>175</v>
      </c>
      <c r="BM924" t="s">
        <v>13794</v>
      </c>
      <c r="BN924" t="s">
        <v>74</v>
      </c>
      <c r="BO924" t="s">
        <v>74</v>
      </c>
      <c r="BP924" t="s">
        <v>74</v>
      </c>
      <c r="BQ924" t="s">
        <v>74</v>
      </c>
      <c r="BR924" t="s">
        <v>101</v>
      </c>
      <c r="BS924" t="s">
        <v>14215</v>
      </c>
      <c r="BT924" t="str">
        <f>HYPERLINK("https%3A%2F%2Fwww.webofscience.com%2Fwos%2Fwoscc%2Ffull-record%2FWOS:000248621600040","View Full Record in Web of Science")</f>
        <v>View Full Record in Web of Science</v>
      </c>
    </row>
    <row r="925" spans="1:72" x14ac:dyDescent="0.15">
      <c r="A925" t="s">
        <v>5932</v>
      </c>
      <c r="B925" t="s">
        <v>14216</v>
      </c>
      <c r="C925" t="s">
        <v>74</v>
      </c>
      <c r="D925" t="s">
        <v>13775</v>
      </c>
      <c r="E925" t="s">
        <v>74</v>
      </c>
      <c r="F925" t="s">
        <v>14217</v>
      </c>
      <c r="G925" t="s">
        <v>74</v>
      </c>
      <c r="H925" t="s">
        <v>74</v>
      </c>
      <c r="I925" t="s">
        <v>14218</v>
      </c>
      <c r="J925" t="s">
        <v>13778</v>
      </c>
      <c r="K925" t="s">
        <v>13779</v>
      </c>
      <c r="L925" t="s">
        <v>74</v>
      </c>
      <c r="M925" t="s">
        <v>78</v>
      </c>
      <c r="N925" t="s">
        <v>5938</v>
      </c>
      <c r="O925" t="s">
        <v>13780</v>
      </c>
      <c r="P925" t="s">
        <v>13781</v>
      </c>
      <c r="Q925" t="s">
        <v>13782</v>
      </c>
      <c r="R925" t="s">
        <v>74</v>
      </c>
      <c r="S925" t="s">
        <v>74</v>
      </c>
      <c r="T925" t="s">
        <v>74</v>
      </c>
      <c r="U925" t="s">
        <v>14219</v>
      </c>
      <c r="V925" t="s">
        <v>14220</v>
      </c>
      <c r="W925" t="s">
        <v>14113</v>
      </c>
      <c r="X925" t="s">
        <v>74</v>
      </c>
      <c r="Y925" t="s">
        <v>14221</v>
      </c>
      <c r="Z925" t="s">
        <v>74</v>
      </c>
      <c r="AA925" t="s">
        <v>74</v>
      </c>
      <c r="AB925" t="s">
        <v>74</v>
      </c>
      <c r="AC925" t="s">
        <v>74</v>
      </c>
      <c r="AD925" t="s">
        <v>74</v>
      </c>
      <c r="AE925" t="s">
        <v>74</v>
      </c>
      <c r="AF925" t="s">
        <v>74</v>
      </c>
      <c r="AG925">
        <v>10</v>
      </c>
      <c r="AH925">
        <v>1</v>
      </c>
      <c r="AI925">
        <v>1</v>
      </c>
      <c r="AJ925">
        <v>0</v>
      </c>
      <c r="AK925">
        <v>0</v>
      </c>
      <c r="AL925" t="s">
        <v>13787</v>
      </c>
      <c r="AM925" t="s">
        <v>13788</v>
      </c>
      <c r="AN925" t="s">
        <v>13789</v>
      </c>
      <c r="AO925" t="s">
        <v>13790</v>
      </c>
      <c r="AP925" t="s">
        <v>74</v>
      </c>
      <c r="AQ925" t="s">
        <v>13791</v>
      </c>
      <c r="AR925" t="s">
        <v>13792</v>
      </c>
      <c r="AS925" t="s">
        <v>74</v>
      </c>
      <c r="AT925" t="s">
        <v>74</v>
      </c>
      <c r="AU925">
        <v>2007</v>
      </c>
      <c r="AV925">
        <v>25</v>
      </c>
      <c r="AW925" t="s">
        <v>74</v>
      </c>
      <c r="AX925" t="s">
        <v>74</v>
      </c>
      <c r="AY925" t="s">
        <v>74</v>
      </c>
      <c r="AZ925" t="s">
        <v>74</v>
      </c>
      <c r="BA925" t="s">
        <v>74</v>
      </c>
      <c r="BB925">
        <v>251</v>
      </c>
      <c r="BC925">
        <v>254</v>
      </c>
      <c r="BD925" t="s">
        <v>74</v>
      </c>
      <c r="BE925" t="s">
        <v>14222</v>
      </c>
      <c r="BF925" t="str">
        <f>HYPERLINK("http://dx.doi.org/10.1051/eas:2007103","http://dx.doi.org/10.1051/eas:2007103")</f>
        <v>http://dx.doi.org/10.1051/eas:2007103</v>
      </c>
      <c r="BG925" t="s">
        <v>74</v>
      </c>
      <c r="BH925" t="s">
        <v>74</v>
      </c>
      <c r="BI925">
        <v>4</v>
      </c>
      <c r="BJ925" t="s">
        <v>175</v>
      </c>
      <c r="BK925" t="s">
        <v>5953</v>
      </c>
      <c r="BL925" t="s">
        <v>175</v>
      </c>
      <c r="BM925" t="s">
        <v>13794</v>
      </c>
      <c r="BN925" t="s">
        <v>74</v>
      </c>
      <c r="BO925" t="s">
        <v>74</v>
      </c>
      <c r="BP925" t="s">
        <v>74</v>
      </c>
      <c r="BQ925" t="s">
        <v>74</v>
      </c>
      <c r="BR925" t="s">
        <v>101</v>
      </c>
      <c r="BS925" t="s">
        <v>14223</v>
      </c>
      <c r="BT925" t="str">
        <f>HYPERLINK("https%3A%2F%2Fwww.webofscience.com%2Fwos%2Fwoscc%2Ffull-record%2FWOS:000248621600041","View Full Record in Web of Science")</f>
        <v>View Full Record in Web of Science</v>
      </c>
    </row>
    <row r="926" spans="1:72" x14ac:dyDescent="0.15">
      <c r="A926" t="s">
        <v>5932</v>
      </c>
      <c r="B926" t="s">
        <v>14224</v>
      </c>
      <c r="C926" t="s">
        <v>74</v>
      </c>
      <c r="D926" t="s">
        <v>13775</v>
      </c>
      <c r="E926" t="s">
        <v>74</v>
      </c>
      <c r="F926" t="s">
        <v>14225</v>
      </c>
      <c r="G926" t="s">
        <v>74</v>
      </c>
      <c r="H926" t="s">
        <v>74</v>
      </c>
      <c r="I926" t="s">
        <v>14226</v>
      </c>
      <c r="J926" t="s">
        <v>13778</v>
      </c>
      <c r="K926" t="s">
        <v>13779</v>
      </c>
      <c r="L926" t="s">
        <v>74</v>
      </c>
      <c r="M926" t="s">
        <v>78</v>
      </c>
      <c r="N926" t="s">
        <v>5938</v>
      </c>
      <c r="O926" t="s">
        <v>13780</v>
      </c>
      <c r="P926" t="s">
        <v>13781</v>
      </c>
      <c r="Q926" t="s">
        <v>13782</v>
      </c>
      <c r="R926" t="s">
        <v>74</v>
      </c>
      <c r="S926" t="s">
        <v>74</v>
      </c>
      <c r="T926" t="s">
        <v>74</v>
      </c>
      <c r="U926" t="s">
        <v>14227</v>
      </c>
      <c r="V926" t="s">
        <v>14228</v>
      </c>
      <c r="W926" t="s">
        <v>13974</v>
      </c>
      <c r="X926" t="s">
        <v>13975</v>
      </c>
      <c r="Y926" t="s">
        <v>14229</v>
      </c>
      <c r="Z926" t="s">
        <v>74</v>
      </c>
      <c r="AA926" t="s">
        <v>74</v>
      </c>
      <c r="AB926" t="s">
        <v>14230</v>
      </c>
      <c r="AC926" t="s">
        <v>74</v>
      </c>
      <c r="AD926" t="s">
        <v>74</v>
      </c>
      <c r="AE926" t="s">
        <v>74</v>
      </c>
      <c r="AF926" t="s">
        <v>74</v>
      </c>
      <c r="AG926">
        <v>10</v>
      </c>
      <c r="AH926">
        <v>10</v>
      </c>
      <c r="AI926">
        <v>10</v>
      </c>
      <c r="AJ926">
        <v>0</v>
      </c>
      <c r="AK926">
        <v>1</v>
      </c>
      <c r="AL926" t="s">
        <v>13787</v>
      </c>
      <c r="AM926" t="s">
        <v>13788</v>
      </c>
      <c r="AN926" t="s">
        <v>13789</v>
      </c>
      <c r="AO926" t="s">
        <v>13790</v>
      </c>
      <c r="AP926" t="s">
        <v>74</v>
      </c>
      <c r="AQ926" t="s">
        <v>13791</v>
      </c>
      <c r="AR926" t="s">
        <v>13792</v>
      </c>
      <c r="AS926" t="s">
        <v>74</v>
      </c>
      <c r="AT926" t="s">
        <v>74</v>
      </c>
      <c r="AU926">
        <v>2007</v>
      </c>
      <c r="AV926">
        <v>25</v>
      </c>
      <c r="AW926" t="s">
        <v>74</v>
      </c>
      <c r="AX926" t="s">
        <v>74</v>
      </c>
      <c r="AY926" t="s">
        <v>74</v>
      </c>
      <c r="AZ926" t="s">
        <v>74</v>
      </c>
      <c r="BA926" t="s">
        <v>74</v>
      </c>
      <c r="BB926">
        <v>255</v>
      </c>
      <c r="BC926">
        <v>259</v>
      </c>
      <c r="BD926" t="s">
        <v>74</v>
      </c>
      <c r="BE926" t="s">
        <v>14231</v>
      </c>
      <c r="BF926" t="str">
        <f>HYPERLINK("http://dx.doi.org/10.1051/eas:2007104","http://dx.doi.org/10.1051/eas:2007104")</f>
        <v>http://dx.doi.org/10.1051/eas:2007104</v>
      </c>
      <c r="BG926" t="s">
        <v>74</v>
      </c>
      <c r="BH926" t="s">
        <v>74</v>
      </c>
      <c r="BI926">
        <v>5</v>
      </c>
      <c r="BJ926" t="s">
        <v>175</v>
      </c>
      <c r="BK926" t="s">
        <v>5953</v>
      </c>
      <c r="BL926" t="s">
        <v>175</v>
      </c>
      <c r="BM926" t="s">
        <v>13794</v>
      </c>
      <c r="BN926" t="s">
        <v>74</v>
      </c>
      <c r="BO926" t="s">
        <v>1249</v>
      </c>
      <c r="BP926" t="s">
        <v>74</v>
      </c>
      <c r="BQ926" t="s">
        <v>74</v>
      </c>
      <c r="BR926" t="s">
        <v>101</v>
      </c>
      <c r="BS926" t="s">
        <v>14232</v>
      </c>
      <c r="BT926" t="str">
        <f>HYPERLINK("https%3A%2F%2Fwww.webofscience.com%2Fwos%2Fwoscc%2Ffull-record%2FWOS:000248621600042","View Full Record in Web of Science")</f>
        <v>View Full Record in Web of Science</v>
      </c>
    </row>
    <row r="927" spans="1:72" x14ac:dyDescent="0.15">
      <c r="A927" t="s">
        <v>5932</v>
      </c>
      <c r="B927" t="s">
        <v>14233</v>
      </c>
      <c r="C927" t="s">
        <v>74</v>
      </c>
      <c r="D927" t="s">
        <v>13775</v>
      </c>
      <c r="E927" t="s">
        <v>74</v>
      </c>
      <c r="F927" t="s">
        <v>14234</v>
      </c>
      <c r="G927" t="s">
        <v>74</v>
      </c>
      <c r="H927" t="s">
        <v>74</v>
      </c>
      <c r="I927" t="s">
        <v>14235</v>
      </c>
      <c r="J927" t="s">
        <v>13799</v>
      </c>
      <c r="K927" t="s">
        <v>13800</v>
      </c>
      <c r="L927" t="s">
        <v>74</v>
      </c>
      <c r="M927" t="s">
        <v>78</v>
      </c>
      <c r="N927" t="s">
        <v>5938</v>
      </c>
      <c r="O927" t="s">
        <v>13780</v>
      </c>
      <c r="P927" t="s">
        <v>13781</v>
      </c>
      <c r="Q927" t="s">
        <v>13782</v>
      </c>
      <c r="R927" t="s">
        <v>74</v>
      </c>
      <c r="S927" t="s">
        <v>74</v>
      </c>
      <c r="T927" t="s">
        <v>74</v>
      </c>
      <c r="U927" t="s">
        <v>74</v>
      </c>
      <c r="V927" t="s">
        <v>14236</v>
      </c>
      <c r="W927" t="s">
        <v>14237</v>
      </c>
      <c r="X927" t="s">
        <v>74</v>
      </c>
      <c r="Y927" t="s">
        <v>14238</v>
      </c>
      <c r="Z927" t="s">
        <v>74</v>
      </c>
      <c r="AA927" t="s">
        <v>74</v>
      </c>
      <c r="AB927" t="s">
        <v>74</v>
      </c>
      <c r="AC927" t="s">
        <v>74</v>
      </c>
      <c r="AD927" t="s">
        <v>74</v>
      </c>
      <c r="AE927" t="s">
        <v>74</v>
      </c>
      <c r="AF927" t="s">
        <v>74</v>
      </c>
      <c r="AG927">
        <v>4</v>
      </c>
      <c r="AH927">
        <v>1</v>
      </c>
      <c r="AI927">
        <v>2</v>
      </c>
      <c r="AJ927">
        <v>0</v>
      </c>
      <c r="AK927">
        <v>0</v>
      </c>
      <c r="AL927" t="s">
        <v>13787</v>
      </c>
      <c r="AM927" t="s">
        <v>13788</v>
      </c>
      <c r="AN927" t="s">
        <v>13789</v>
      </c>
      <c r="AO927" t="s">
        <v>13790</v>
      </c>
      <c r="AP927" t="s">
        <v>74</v>
      </c>
      <c r="AQ927" t="s">
        <v>13791</v>
      </c>
      <c r="AR927" t="s">
        <v>13792</v>
      </c>
      <c r="AS927" t="s">
        <v>74</v>
      </c>
      <c r="AT927" t="s">
        <v>74</v>
      </c>
      <c r="AU927">
        <v>2007</v>
      </c>
      <c r="AV927">
        <v>25</v>
      </c>
      <c r="AW927" t="s">
        <v>74</v>
      </c>
      <c r="AX927" t="s">
        <v>74</v>
      </c>
      <c r="AY927" t="s">
        <v>74</v>
      </c>
      <c r="AZ927" t="s">
        <v>74</v>
      </c>
      <c r="BA927" t="s">
        <v>74</v>
      </c>
      <c r="BB927">
        <v>261</v>
      </c>
      <c r="BC927" t="s">
        <v>5541</v>
      </c>
      <c r="BD927" t="s">
        <v>74</v>
      </c>
      <c r="BE927" t="s">
        <v>14239</v>
      </c>
      <c r="BF927" t="str">
        <f>HYPERLINK("http://dx.doi.org/10.1051/eas:2007105","http://dx.doi.org/10.1051/eas:2007105")</f>
        <v>http://dx.doi.org/10.1051/eas:2007105</v>
      </c>
      <c r="BG927" t="s">
        <v>74</v>
      </c>
      <c r="BH927" t="s">
        <v>74</v>
      </c>
      <c r="BI927">
        <v>2</v>
      </c>
      <c r="BJ927" t="s">
        <v>175</v>
      </c>
      <c r="BK927" t="s">
        <v>5953</v>
      </c>
      <c r="BL927" t="s">
        <v>175</v>
      </c>
      <c r="BM927" t="s">
        <v>13794</v>
      </c>
      <c r="BN927" t="s">
        <v>74</v>
      </c>
      <c r="BO927" t="s">
        <v>74</v>
      </c>
      <c r="BP927" t="s">
        <v>74</v>
      </c>
      <c r="BQ927" t="s">
        <v>74</v>
      </c>
      <c r="BR927" t="s">
        <v>101</v>
      </c>
      <c r="BS927" t="s">
        <v>14240</v>
      </c>
      <c r="BT927" t="str">
        <f>HYPERLINK("https%3A%2F%2Fwww.webofscience.com%2Fwos%2Fwoscc%2Ffull-record%2FWOS:000248621600043","View Full Record in Web of Science")</f>
        <v>View Full Record in Web of Science</v>
      </c>
    </row>
    <row r="928" spans="1:72" x14ac:dyDescent="0.15">
      <c r="A928" t="s">
        <v>5932</v>
      </c>
      <c r="B928" t="s">
        <v>14241</v>
      </c>
      <c r="C928" t="s">
        <v>74</v>
      </c>
      <c r="D928" t="s">
        <v>13775</v>
      </c>
      <c r="E928" t="s">
        <v>74</v>
      </c>
      <c r="F928" t="s">
        <v>14242</v>
      </c>
      <c r="G928" t="s">
        <v>74</v>
      </c>
      <c r="H928" t="s">
        <v>74</v>
      </c>
      <c r="I928" t="s">
        <v>14243</v>
      </c>
      <c r="J928" t="s">
        <v>13778</v>
      </c>
      <c r="K928" t="s">
        <v>13779</v>
      </c>
      <c r="L928" t="s">
        <v>74</v>
      </c>
      <c r="M928" t="s">
        <v>78</v>
      </c>
      <c r="N928" t="s">
        <v>5938</v>
      </c>
      <c r="O928" t="s">
        <v>13780</v>
      </c>
      <c r="P928" t="s">
        <v>13781</v>
      </c>
      <c r="Q928" t="s">
        <v>13782</v>
      </c>
      <c r="R928" t="s">
        <v>74</v>
      </c>
      <c r="S928" t="s">
        <v>74</v>
      </c>
      <c r="T928" t="s">
        <v>74</v>
      </c>
      <c r="U928" t="s">
        <v>74</v>
      </c>
      <c r="V928" t="s">
        <v>14244</v>
      </c>
      <c r="W928" t="s">
        <v>14245</v>
      </c>
      <c r="X928" t="s">
        <v>6813</v>
      </c>
      <c r="Y928" t="s">
        <v>14246</v>
      </c>
      <c r="Z928" t="s">
        <v>74</v>
      </c>
      <c r="AA928" t="s">
        <v>74</v>
      </c>
      <c r="AB928" t="s">
        <v>74</v>
      </c>
      <c r="AC928" t="s">
        <v>74</v>
      </c>
      <c r="AD928" t="s">
        <v>74</v>
      </c>
      <c r="AE928" t="s">
        <v>74</v>
      </c>
      <c r="AF928" t="s">
        <v>74</v>
      </c>
      <c r="AG928">
        <v>4</v>
      </c>
      <c r="AH928">
        <v>6</v>
      </c>
      <c r="AI928">
        <v>6</v>
      </c>
      <c r="AJ928">
        <v>0</v>
      </c>
      <c r="AK928">
        <v>1</v>
      </c>
      <c r="AL928" t="s">
        <v>13787</v>
      </c>
      <c r="AM928" t="s">
        <v>13788</v>
      </c>
      <c r="AN928" t="s">
        <v>13789</v>
      </c>
      <c r="AO928" t="s">
        <v>13790</v>
      </c>
      <c r="AP928" t="s">
        <v>74</v>
      </c>
      <c r="AQ928" t="s">
        <v>13791</v>
      </c>
      <c r="AR928" t="s">
        <v>13792</v>
      </c>
      <c r="AS928" t="s">
        <v>74</v>
      </c>
      <c r="AT928" t="s">
        <v>74</v>
      </c>
      <c r="AU928">
        <v>2007</v>
      </c>
      <c r="AV928">
        <v>25</v>
      </c>
      <c r="AW928" t="s">
        <v>74</v>
      </c>
      <c r="AX928" t="s">
        <v>74</v>
      </c>
      <c r="AY928" t="s">
        <v>74</v>
      </c>
      <c r="AZ928" t="s">
        <v>74</v>
      </c>
      <c r="BA928" t="s">
        <v>74</v>
      </c>
      <c r="BB928">
        <v>265</v>
      </c>
      <c r="BC928">
        <v>272</v>
      </c>
      <c r="BD928" t="s">
        <v>74</v>
      </c>
      <c r="BE928" t="s">
        <v>14247</v>
      </c>
      <c r="BF928" t="str">
        <f>HYPERLINK("http://dx.doi.org/10.1051/eas:2007106","http://dx.doi.org/10.1051/eas:2007106")</f>
        <v>http://dx.doi.org/10.1051/eas:2007106</v>
      </c>
      <c r="BG928" t="s">
        <v>74</v>
      </c>
      <c r="BH928" t="s">
        <v>74</v>
      </c>
      <c r="BI928">
        <v>8</v>
      </c>
      <c r="BJ928" t="s">
        <v>175</v>
      </c>
      <c r="BK928" t="s">
        <v>5953</v>
      </c>
      <c r="BL928" t="s">
        <v>175</v>
      </c>
      <c r="BM928" t="s">
        <v>13794</v>
      </c>
      <c r="BN928" t="s">
        <v>74</v>
      </c>
      <c r="BO928" t="s">
        <v>74</v>
      </c>
      <c r="BP928" t="s">
        <v>74</v>
      </c>
      <c r="BQ928" t="s">
        <v>74</v>
      </c>
      <c r="BR928" t="s">
        <v>101</v>
      </c>
      <c r="BS928" t="s">
        <v>14248</v>
      </c>
      <c r="BT928" t="str">
        <f>HYPERLINK("https%3A%2F%2Fwww.webofscience.com%2Fwos%2Fwoscc%2Ffull-record%2FWOS:000248621600044","View Full Record in Web of Science")</f>
        <v>View Full Record in Web of Science</v>
      </c>
    </row>
    <row r="929" spans="1:72" x14ac:dyDescent="0.15">
      <c r="A929" t="s">
        <v>5932</v>
      </c>
      <c r="B929" t="s">
        <v>14249</v>
      </c>
      <c r="C929" t="s">
        <v>74</v>
      </c>
      <c r="D929" t="s">
        <v>13775</v>
      </c>
      <c r="E929" t="s">
        <v>74</v>
      </c>
      <c r="F929" t="s">
        <v>14250</v>
      </c>
      <c r="G929" t="s">
        <v>74</v>
      </c>
      <c r="H929" t="s">
        <v>74</v>
      </c>
      <c r="I929" t="s">
        <v>14251</v>
      </c>
      <c r="J929" t="s">
        <v>13778</v>
      </c>
      <c r="K929" t="s">
        <v>13779</v>
      </c>
      <c r="L929" t="s">
        <v>74</v>
      </c>
      <c r="M929" t="s">
        <v>78</v>
      </c>
      <c r="N929" t="s">
        <v>5938</v>
      </c>
      <c r="O929" t="s">
        <v>13780</v>
      </c>
      <c r="P929" t="s">
        <v>13781</v>
      </c>
      <c r="Q929" t="s">
        <v>13782</v>
      </c>
      <c r="R929" t="s">
        <v>74</v>
      </c>
      <c r="S929" t="s">
        <v>74</v>
      </c>
      <c r="T929" t="s">
        <v>74</v>
      </c>
      <c r="U929" t="s">
        <v>74</v>
      </c>
      <c r="V929" t="s">
        <v>14252</v>
      </c>
      <c r="W929" t="s">
        <v>14253</v>
      </c>
      <c r="X929" t="s">
        <v>74</v>
      </c>
      <c r="Y929" t="s">
        <v>14254</v>
      </c>
      <c r="Z929" t="s">
        <v>74</v>
      </c>
      <c r="AA929" t="s">
        <v>74</v>
      </c>
      <c r="AB929" t="s">
        <v>74</v>
      </c>
      <c r="AC929" t="s">
        <v>74</v>
      </c>
      <c r="AD929" t="s">
        <v>74</v>
      </c>
      <c r="AE929" t="s">
        <v>74</v>
      </c>
      <c r="AF929" t="s">
        <v>74</v>
      </c>
      <c r="AG929">
        <v>3</v>
      </c>
      <c r="AH929">
        <v>2</v>
      </c>
      <c r="AI929">
        <v>2</v>
      </c>
      <c r="AJ929">
        <v>0</v>
      </c>
      <c r="AK929">
        <v>0</v>
      </c>
      <c r="AL929" t="s">
        <v>13787</v>
      </c>
      <c r="AM929" t="s">
        <v>13788</v>
      </c>
      <c r="AN929" t="s">
        <v>13789</v>
      </c>
      <c r="AO929" t="s">
        <v>13790</v>
      </c>
      <c r="AP929" t="s">
        <v>74</v>
      </c>
      <c r="AQ929" t="s">
        <v>13791</v>
      </c>
      <c r="AR929" t="s">
        <v>13792</v>
      </c>
      <c r="AS929" t="s">
        <v>74</v>
      </c>
      <c r="AT929" t="s">
        <v>74</v>
      </c>
      <c r="AU929">
        <v>2007</v>
      </c>
      <c r="AV929">
        <v>25</v>
      </c>
      <c r="AW929" t="s">
        <v>74</v>
      </c>
      <c r="AX929" t="s">
        <v>74</v>
      </c>
      <c r="AY929" t="s">
        <v>74</v>
      </c>
      <c r="AZ929" t="s">
        <v>74</v>
      </c>
      <c r="BA929" t="s">
        <v>74</v>
      </c>
      <c r="BB929">
        <v>273</v>
      </c>
      <c r="BC929">
        <v>277</v>
      </c>
      <c r="BD929" t="s">
        <v>74</v>
      </c>
      <c r="BE929" t="s">
        <v>14255</v>
      </c>
      <c r="BF929" t="str">
        <f>HYPERLINK("http://dx.doi.org/10.1051/eas:2007107","http://dx.doi.org/10.1051/eas:2007107")</f>
        <v>http://dx.doi.org/10.1051/eas:2007107</v>
      </c>
      <c r="BG929" t="s">
        <v>74</v>
      </c>
      <c r="BH929" t="s">
        <v>74</v>
      </c>
      <c r="BI929">
        <v>5</v>
      </c>
      <c r="BJ929" t="s">
        <v>175</v>
      </c>
      <c r="BK929" t="s">
        <v>5953</v>
      </c>
      <c r="BL929" t="s">
        <v>175</v>
      </c>
      <c r="BM929" t="s">
        <v>13794</v>
      </c>
      <c r="BN929" t="s">
        <v>74</v>
      </c>
      <c r="BO929" t="s">
        <v>74</v>
      </c>
      <c r="BP929" t="s">
        <v>74</v>
      </c>
      <c r="BQ929" t="s">
        <v>74</v>
      </c>
      <c r="BR929" t="s">
        <v>101</v>
      </c>
      <c r="BS929" t="s">
        <v>14256</v>
      </c>
      <c r="BT929" t="str">
        <f>HYPERLINK("https%3A%2F%2Fwww.webofscience.com%2Fwos%2Fwoscc%2Ffull-record%2FWOS:000248621600045","View Full Record in Web of Science")</f>
        <v>View Full Record in Web of Science</v>
      </c>
    </row>
    <row r="930" spans="1:72" x14ac:dyDescent="0.15">
      <c r="A930" t="s">
        <v>5932</v>
      </c>
      <c r="B930" t="s">
        <v>14257</v>
      </c>
      <c r="C930" t="s">
        <v>74</v>
      </c>
      <c r="D930" t="s">
        <v>13775</v>
      </c>
      <c r="E930" t="s">
        <v>74</v>
      </c>
      <c r="F930" t="s">
        <v>14258</v>
      </c>
      <c r="G930" t="s">
        <v>74</v>
      </c>
      <c r="H930" t="s">
        <v>74</v>
      </c>
      <c r="I930" t="s">
        <v>14259</v>
      </c>
      <c r="J930" t="s">
        <v>13778</v>
      </c>
      <c r="K930" t="s">
        <v>13779</v>
      </c>
      <c r="L930" t="s">
        <v>74</v>
      </c>
      <c r="M930" t="s">
        <v>78</v>
      </c>
      <c r="N930" t="s">
        <v>5938</v>
      </c>
      <c r="O930" t="s">
        <v>13780</v>
      </c>
      <c r="P930" t="s">
        <v>13781</v>
      </c>
      <c r="Q930" t="s">
        <v>13782</v>
      </c>
      <c r="R930" t="s">
        <v>74</v>
      </c>
      <c r="S930" t="s">
        <v>74</v>
      </c>
      <c r="T930" t="s">
        <v>74</v>
      </c>
      <c r="U930" t="s">
        <v>74</v>
      </c>
      <c r="V930" t="s">
        <v>14260</v>
      </c>
      <c r="W930" t="s">
        <v>14261</v>
      </c>
      <c r="X930" t="s">
        <v>14132</v>
      </c>
      <c r="Y930" t="s">
        <v>14262</v>
      </c>
      <c r="Z930" t="s">
        <v>74</v>
      </c>
      <c r="AA930" t="s">
        <v>74</v>
      </c>
      <c r="AB930" t="s">
        <v>74</v>
      </c>
      <c r="AC930" t="s">
        <v>74</v>
      </c>
      <c r="AD930" t="s">
        <v>74</v>
      </c>
      <c r="AE930" t="s">
        <v>74</v>
      </c>
      <c r="AF930" t="s">
        <v>74</v>
      </c>
      <c r="AG930">
        <v>3</v>
      </c>
      <c r="AH930">
        <v>0</v>
      </c>
      <c r="AI930">
        <v>0</v>
      </c>
      <c r="AJ930">
        <v>0</v>
      </c>
      <c r="AK930">
        <v>1</v>
      </c>
      <c r="AL930" t="s">
        <v>13787</v>
      </c>
      <c r="AM930" t="s">
        <v>13788</v>
      </c>
      <c r="AN930" t="s">
        <v>13789</v>
      </c>
      <c r="AO930" t="s">
        <v>13790</v>
      </c>
      <c r="AP930" t="s">
        <v>74</v>
      </c>
      <c r="AQ930" t="s">
        <v>13791</v>
      </c>
      <c r="AR930" t="s">
        <v>13792</v>
      </c>
      <c r="AS930" t="s">
        <v>74</v>
      </c>
      <c r="AT930" t="s">
        <v>74</v>
      </c>
      <c r="AU930">
        <v>2007</v>
      </c>
      <c r="AV930">
        <v>25</v>
      </c>
      <c r="AW930" t="s">
        <v>74</v>
      </c>
      <c r="AX930" t="s">
        <v>74</v>
      </c>
      <c r="AY930" t="s">
        <v>74</v>
      </c>
      <c r="AZ930" t="s">
        <v>74</v>
      </c>
      <c r="BA930" t="s">
        <v>74</v>
      </c>
      <c r="BB930">
        <v>279</v>
      </c>
      <c r="BC930">
        <v>284</v>
      </c>
      <c r="BD930" t="s">
        <v>74</v>
      </c>
      <c r="BE930" t="s">
        <v>14263</v>
      </c>
      <c r="BF930" t="str">
        <f>HYPERLINK("http://dx.doi.org/10.1051/eas:2007108","http://dx.doi.org/10.1051/eas:2007108")</f>
        <v>http://dx.doi.org/10.1051/eas:2007108</v>
      </c>
      <c r="BG930" t="s">
        <v>74</v>
      </c>
      <c r="BH930" t="s">
        <v>74</v>
      </c>
      <c r="BI930">
        <v>6</v>
      </c>
      <c r="BJ930" t="s">
        <v>175</v>
      </c>
      <c r="BK930" t="s">
        <v>5953</v>
      </c>
      <c r="BL930" t="s">
        <v>175</v>
      </c>
      <c r="BM930" t="s">
        <v>13794</v>
      </c>
      <c r="BN930" t="s">
        <v>74</v>
      </c>
      <c r="BO930" t="s">
        <v>74</v>
      </c>
      <c r="BP930" t="s">
        <v>74</v>
      </c>
      <c r="BQ930" t="s">
        <v>74</v>
      </c>
      <c r="BR930" t="s">
        <v>101</v>
      </c>
      <c r="BS930" t="s">
        <v>14264</v>
      </c>
      <c r="BT930" t="str">
        <f>HYPERLINK("https%3A%2F%2Fwww.webofscience.com%2Fwos%2Fwoscc%2Ffull-record%2FWOS:000248621600046","View Full Record in Web of Science")</f>
        <v>View Full Record in Web of Science</v>
      </c>
    </row>
    <row r="931" spans="1:72" x14ac:dyDescent="0.15">
      <c r="A931" t="s">
        <v>5932</v>
      </c>
      <c r="B931" t="s">
        <v>14265</v>
      </c>
      <c r="C931" t="s">
        <v>74</v>
      </c>
      <c r="D931" t="s">
        <v>13775</v>
      </c>
      <c r="E931" t="s">
        <v>74</v>
      </c>
      <c r="F931" t="s">
        <v>14266</v>
      </c>
      <c r="G931" t="s">
        <v>74</v>
      </c>
      <c r="H931" t="s">
        <v>74</v>
      </c>
      <c r="I931" t="s">
        <v>14267</v>
      </c>
      <c r="J931" t="s">
        <v>13778</v>
      </c>
      <c r="K931" t="s">
        <v>13779</v>
      </c>
      <c r="L931" t="s">
        <v>74</v>
      </c>
      <c r="M931" t="s">
        <v>78</v>
      </c>
      <c r="N931" t="s">
        <v>5938</v>
      </c>
      <c r="O931" t="s">
        <v>13780</v>
      </c>
      <c r="P931" t="s">
        <v>13781</v>
      </c>
      <c r="Q931" t="s">
        <v>13782</v>
      </c>
      <c r="R931" t="s">
        <v>74</v>
      </c>
      <c r="S931" t="s">
        <v>74</v>
      </c>
      <c r="T931" t="s">
        <v>74</v>
      </c>
      <c r="U931" t="s">
        <v>14268</v>
      </c>
      <c r="V931" t="s">
        <v>14269</v>
      </c>
      <c r="W931" t="s">
        <v>14270</v>
      </c>
      <c r="X931" t="s">
        <v>14271</v>
      </c>
      <c r="Y931" t="s">
        <v>14272</v>
      </c>
      <c r="Z931" t="s">
        <v>74</v>
      </c>
      <c r="AA931" t="s">
        <v>74</v>
      </c>
      <c r="AB931" t="s">
        <v>14273</v>
      </c>
      <c r="AC931" t="s">
        <v>74</v>
      </c>
      <c r="AD931" t="s">
        <v>74</v>
      </c>
      <c r="AE931" t="s">
        <v>74</v>
      </c>
      <c r="AF931" t="s">
        <v>74</v>
      </c>
      <c r="AG931">
        <v>9</v>
      </c>
      <c r="AH931">
        <v>0</v>
      </c>
      <c r="AI931">
        <v>0</v>
      </c>
      <c r="AJ931">
        <v>0</v>
      </c>
      <c r="AK931">
        <v>1</v>
      </c>
      <c r="AL931" t="s">
        <v>13787</v>
      </c>
      <c r="AM931" t="s">
        <v>13788</v>
      </c>
      <c r="AN931" t="s">
        <v>13789</v>
      </c>
      <c r="AO931" t="s">
        <v>13790</v>
      </c>
      <c r="AP931" t="s">
        <v>74</v>
      </c>
      <c r="AQ931" t="s">
        <v>13791</v>
      </c>
      <c r="AR931" t="s">
        <v>13792</v>
      </c>
      <c r="AS931" t="s">
        <v>74</v>
      </c>
      <c r="AT931" t="s">
        <v>74</v>
      </c>
      <c r="AU931">
        <v>2007</v>
      </c>
      <c r="AV931">
        <v>25</v>
      </c>
      <c r="AW931" t="s">
        <v>74</v>
      </c>
      <c r="AX931" t="s">
        <v>74</v>
      </c>
      <c r="AY931" t="s">
        <v>74</v>
      </c>
      <c r="AZ931" t="s">
        <v>74</v>
      </c>
      <c r="BA931" t="s">
        <v>74</v>
      </c>
      <c r="BB931">
        <v>285</v>
      </c>
      <c r="BC931">
        <v>293</v>
      </c>
      <c r="BD931" t="s">
        <v>74</v>
      </c>
      <c r="BE931" t="s">
        <v>14274</v>
      </c>
      <c r="BF931" t="str">
        <f>HYPERLINK("http://dx.doi.org/10.1051/eas:2007109","http://dx.doi.org/10.1051/eas:2007109")</f>
        <v>http://dx.doi.org/10.1051/eas:2007109</v>
      </c>
      <c r="BG931" t="s">
        <v>74</v>
      </c>
      <c r="BH931" t="s">
        <v>74</v>
      </c>
      <c r="BI931">
        <v>9</v>
      </c>
      <c r="BJ931" t="s">
        <v>175</v>
      </c>
      <c r="BK931" t="s">
        <v>5953</v>
      </c>
      <c r="BL931" t="s">
        <v>175</v>
      </c>
      <c r="BM931" t="s">
        <v>13794</v>
      </c>
      <c r="BN931" t="s">
        <v>74</v>
      </c>
      <c r="BO931" t="s">
        <v>74</v>
      </c>
      <c r="BP931" t="s">
        <v>74</v>
      </c>
      <c r="BQ931" t="s">
        <v>74</v>
      </c>
      <c r="BR931" t="s">
        <v>101</v>
      </c>
      <c r="BS931" t="s">
        <v>14275</v>
      </c>
      <c r="BT931" t="str">
        <f>HYPERLINK("https%3A%2F%2Fwww.webofscience.com%2Fwos%2Fwoscc%2Ffull-record%2FWOS:000248621600047","View Full Record in Web of Science")</f>
        <v>View Full Record in Web of Science</v>
      </c>
    </row>
    <row r="932" spans="1:72" x14ac:dyDescent="0.15">
      <c r="A932" t="s">
        <v>5932</v>
      </c>
      <c r="B932" t="s">
        <v>14276</v>
      </c>
      <c r="C932" t="s">
        <v>74</v>
      </c>
      <c r="D932" t="s">
        <v>13775</v>
      </c>
      <c r="E932" t="s">
        <v>74</v>
      </c>
      <c r="F932" t="s">
        <v>14277</v>
      </c>
      <c r="G932" t="s">
        <v>74</v>
      </c>
      <c r="H932" t="s">
        <v>74</v>
      </c>
      <c r="I932" t="s">
        <v>14278</v>
      </c>
      <c r="J932" t="s">
        <v>13799</v>
      </c>
      <c r="K932" t="s">
        <v>13800</v>
      </c>
      <c r="L932" t="s">
        <v>74</v>
      </c>
      <c r="M932" t="s">
        <v>78</v>
      </c>
      <c r="N932" t="s">
        <v>5938</v>
      </c>
      <c r="O932" t="s">
        <v>13780</v>
      </c>
      <c r="P932" t="s">
        <v>13781</v>
      </c>
      <c r="Q932" t="s">
        <v>13782</v>
      </c>
      <c r="R932" t="s">
        <v>74</v>
      </c>
      <c r="S932" t="s">
        <v>74</v>
      </c>
      <c r="T932" t="s">
        <v>74</v>
      </c>
      <c r="U932" t="s">
        <v>14279</v>
      </c>
      <c r="V932" t="s">
        <v>14280</v>
      </c>
      <c r="W932" t="s">
        <v>14281</v>
      </c>
      <c r="X932" t="s">
        <v>14178</v>
      </c>
      <c r="Y932" t="s">
        <v>14282</v>
      </c>
      <c r="Z932" t="s">
        <v>74</v>
      </c>
      <c r="AA932" t="s">
        <v>14283</v>
      </c>
      <c r="AB932" t="s">
        <v>14284</v>
      </c>
      <c r="AC932" t="s">
        <v>74</v>
      </c>
      <c r="AD932" t="s">
        <v>74</v>
      </c>
      <c r="AE932" t="s">
        <v>74</v>
      </c>
      <c r="AF932" t="s">
        <v>74</v>
      </c>
      <c r="AG932">
        <v>7</v>
      </c>
      <c r="AH932">
        <v>0</v>
      </c>
      <c r="AI932">
        <v>0</v>
      </c>
      <c r="AJ932">
        <v>0</v>
      </c>
      <c r="AK932">
        <v>0</v>
      </c>
      <c r="AL932" t="s">
        <v>13787</v>
      </c>
      <c r="AM932" t="s">
        <v>13788</v>
      </c>
      <c r="AN932" t="s">
        <v>13789</v>
      </c>
      <c r="AO932" t="s">
        <v>13790</v>
      </c>
      <c r="AP932" t="s">
        <v>74</v>
      </c>
      <c r="AQ932" t="s">
        <v>13791</v>
      </c>
      <c r="AR932" t="s">
        <v>13792</v>
      </c>
      <c r="AS932" t="s">
        <v>74</v>
      </c>
      <c r="AT932" t="s">
        <v>74</v>
      </c>
      <c r="AU932">
        <v>2007</v>
      </c>
      <c r="AV932">
        <v>25</v>
      </c>
      <c r="AW932" t="s">
        <v>74</v>
      </c>
      <c r="AX932" t="s">
        <v>74</v>
      </c>
      <c r="AY932" t="s">
        <v>74</v>
      </c>
      <c r="AZ932" t="s">
        <v>74</v>
      </c>
      <c r="BA932" t="s">
        <v>74</v>
      </c>
      <c r="BB932">
        <v>295</v>
      </c>
      <c r="BC932">
        <v>299</v>
      </c>
      <c r="BD932" t="s">
        <v>74</v>
      </c>
      <c r="BE932" t="s">
        <v>14285</v>
      </c>
      <c r="BF932" t="str">
        <f>HYPERLINK("http://dx.doi.org/10.1051/eas:2007110","http://dx.doi.org/10.1051/eas:2007110")</f>
        <v>http://dx.doi.org/10.1051/eas:2007110</v>
      </c>
      <c r="BG932" t="s">
        <v>74</v>
      </c>
      <c r="BH932" t="s">
        <v>74</v>
      </c>
      <c r="BI932">
        <v>5</v>
      </c>
      <c r="BJ932" t="s">
        <v>175</v>
      </c>
      <c r="BK932" t="s">
        <v>5953</v>
      </c>
      <c r="BL932" t="s">
        <v>175</v>
      </c>
      <c r="BM932" t="s">
        <v>13794</v>
      </c>
      <c r="BN932" t="s">
        <v>74</v>
      </c>
      <c r="BO932" t="s">
        <v>74</v>
      </c>
      <c r="BP932" t="s">
        <v>74</v>
      </c>
      <c r="BQ932" t="s">
        <v>74</v>
      </c>
      <c r="BR932" t="s">
        <v>101</v>
      </c>
      <c r="BS932" t="s">
        <v>14286</v>
      </c>
      <c r="BT932" t="str">
        <f>HYPERLINK("https%3A%2F%2Fwww.webofscience.com%2Fwos%2Fwoscc%2Ffull-record%2FWOS:000248621600048","View Full Record in Web of Science")</f>
        <v>View Full Record in Web of Science</v>
      </c>
    </row>
    <row r="933" spans="1:72" x14ac:dyDescent="0.15">
      <c r="A933" t="s">
        <v>5932</v>
      </c>
      <c r="B933" t="s">
        <v>14287</v>
      </c>
      <c r="C933" t="s">
        <v>74</v>
      </c>
      <c r="D933" t="s">
        <v>13775</v>
      </c>
      <c r="E933" t="s">
        <v>74</v>
      </c>
      <c r="F933" t="s">
        <v>14288</v>
      </c>
      <c r="G933" t="s">
        <v>74</v>
      </c>
      <c r="H933" t="s">
        <v>74</v>
      </c>
      <c r="I933" t="s">
        <v>14289</v>
      </c>
      <c r="J933" t="s">
        <v>13778</v>
      </c>
      <c r="K933" t="s">
        <v>13779</v>
      </c>
      <c r="L933" t="s">
        <v>74</v>
      </c>
      <c r="M933" t="s">
        <v>78</v>
      </c>
      <c r="N933" t="s">
        <v>5938</v>
      </c>
      <c r="O933" t="s">
        <v>13780</v>
      </c>
      <c r="P933" t="s">
        <v>13781</v>
      </c>
      <c r="Q933" t="s">
        <v>13782</v>
      </c>
      <c r="R933" t="s">
        <v>74</v>
      </c>
      <c r="S933" t="s">
        <v>74</v>
      </c>
      <c r="T933" t="s">
        <v>74</v>
      </c>
      <c r="U933" t="s">
        <v>74</v>
      </c>
      <c r="V933" t="s">
        <v>14290</v>
      </c>
      <c r="W933" t="s">
        <v>14291</v>
      </c>
      <c r="X933" t="s">
        <v>7722</v>
      </c>
      <c r="Y933" t="s">
        <v>14292</v>
      </c>
      <c r="Z933" t="s">
        <v>74</v>
      </c>
      <c r="AA933" t="s">
        <v>14293</v>
      </c>
      <c r="AB933" t="s">
        <v>14294</v>
      </c>
      <c r="AC933" t="s">
        <v>74</v>
      </c>
      <c r="AD933" t="s">
        <v>74</v>
      </c>
      <c r="AE933" t="s">
        <v>74</v>
      </c>
      <c r="AF933" t="s">
        <v>74</v>
      </c>
      <c r="AG933">
        <v>0</v>
      </c>
      <c r="AH933">
        <v>0</v>
      </c>
      <c r="AI933">
        <v>0</v>
      </c>
      <c r="AJ933">
        <v>0</v>
      </c>
      <c r="AK933">
        <v>0</v>
      </c>
      <c r="AL933" t="s">
        <v>13787</v>
      </c>
      <c r="AM933" t="s">
        <v>13788</v>
      </c>
      <c r="AN933" t="s">
        <v>13789</v>
      </c>
      <c r="AO933" t="s">
        <v>13790</v>
      </c>
      <c r="AP933" t="s">
        <v>74</v>
      </c>
      <c r="AQ933" t="s">
        <v>13791</v>
      </c>
      <c r="AR933" t="s">
        <v>13792</v>
      </c>
      <c r="AS933" t="s">
        <v>74</v>
      </c>
      <c r="AT933" t="s">
        <v>74</v>
      </c>
      <c r="AU933">
        <v>2007</v>
      </c>
      <c r="AV933">
        <v>25</v>
      </c>
      <c r="AW933" t="s">
        <v>74</v>
      </c>
      <c r="AX933" t="s">
        <v>74</v>
      </c>
      <c r="AY933" t="s">
        <v>74</v>
      </c>
      <c r="AZ933" t="s">
        <v>74</v>
      </c>
      <c r="BA933" t="s">
        <v>74</v>
      </c>
      <c r="BB933">
        <v>301</v>
      </c>
      <c r="BC933">
        <v>308</v>
      </c>
      <c r="BD933" t="s">
        <v>74</v>
      </c>
      <c r="BE933" t="s">
        <v>14295</v>
      </c>
      <c r="BF933" t="str">
        <f>HYPERLINK("http://dx.doi.org/10.1051/eas:2007111","http://dx.doi.org/10.1051/eas:2007111")</f>
        <v>http://dx.doi.org/10.1051/eas:2007111</v>
      </c>
      <c r="BG933" t="s">
        <v>74</v>
      </c>
      <c r="BH933" t="s">
        <v>74</v>
      </c>
      <c r="BI933">
        <v>8</v>
      </c>
      <c r="BJ933" t="s">
        <v>175</v>
      </c>
      <c r="BK933" t="s">
        <v>5953</v>
      </c>
      <c r="BL933" t="s">
        <v>175</v>
      </c>
      <c r="BM933" t="s">
        <v>13794</v>
      </c>
      <c r="BN933" t="s">
        <v>74</v>
      </c>
      <c r="BO933" t="s">
        <v>74</v>
      </c>
      <c r="BP933" t="s">
        <v>74</v>
      </c>
      <c r="BQ933" t="s">
        <v>74</v>
      </c>
      <c r="BR933" t="s">
        <v>101</v>
      </c>
      <c r="BS933" t="s">
        <v>14296</v>
      </c>
      <c r="BT933" t="str">
        <f>HYPERLINK("https%3A%2F%2Fwww.webofscience.com%2Fwos%2Fwoscc%2Ffull-record%2FWOS:000248621600049","View Full Record in Web of Science")</f>
        <v>View Full Record in Web of Science</v>
      </c>
    </row>
    <row r="934" spans="1:72" x14ac:dyDescent="0.15">
      <c r="A934" t="s">
        <v>5932</v>
      </c>
      <c r="B934" t="s">
        <v>14297</v>
      </c>
      <c r="C934" t="s">
        <v>74</v>
      </c>
      <c r="D934" t="s">
        <v>13775</v>
      </c>
      <c r="E934" t="s">
        <v>74</v>
      </c>
      <c r="F934" t="s">
        <v>14298</v>
      </c>
      <c r="G934" t="s">
        <v>74</v>
      </c>
      <c r="H934" t="s">
        <v>74</v>
      </c>
      <c r="I934" t="s">
        <v>14299</v>
      </c>
      <c r="J934" t="s">
        <v>13799</v>
      </c>
      <c r="K934" t="s">
        <v>13800</v>
      </c>
      <c r="L934" t="s">
        <v>74</v>
      </c>
      <c r="M934" t="s">
        <v>78</v>
      </c>
      <c r="N934" t="s">
        <v>5938</v>
      </c>
      <c r="O934" t="s">
        <v>13780</v>
      </c>
      <c r="P934" t="s">
        <v>13781</v>
      </c>
      <c r="Q934" t="s">
        <v>13782</v>
      </c>
      <c r="R934" t="s">
        <v>74</v>
      </c>
      <c r="S934" t="s">
        <v>74</v>
      </c>
      <c r="T934" t="s">
        <v>74</v>
      </c>
      <c r="U934" t="s">
        <v>14279</v>
      </c>
      <c r="V934" t="s">
        <v>14300</v>
      </c>
      <c r="W934" t="s">
        <v>14301</v>
      </c>
      <c r="X934" t="s">
        <v>14097</v>
      </c>
      <c r="Y934" t="s">
        <v>14302</v>
      </c>
      <c r="Z934" t="s">
        <v>74</v>
      </c>
      <c r="AA934" t="s">
        <v>74</v>
      </c>
      <c r="AB934" t="s">
        <v>74</v>
      </c>
      <c r="AC934" t="s">
        <v>74</v>
      </c>
      <c r="AD934" t="s">
        <v>74</v>
      </c>
      <c r="AE934" t="s">
        <v>74</v>
      </c>
      <c r="AF934" t="s">
        <v>74</v>
      </c>
      <c r="AG934">
        <v>12</v>
      </c>
      <c r="AH934">
        <v>1</v>
      </c>
      <c r="AI934">
        <v>1</v>
      </c>
      <c r="AJ934">
        <v>0</v>
      </c>
      <c r="AK934">
        <v>1</v>
      </c>
      <c r="AL934" t="s">
        <v>13787</v>
      </c>
      <c r="AM934" t="s">
        <v>13788</v>
      </c>
      <c r="AN934" t="s">
        <v>13789</v>
      </c>
      <c r="AO934" t="s">
        <v>13790</v>
      </c>
      <c r="AP934" t="s">
        <v>74</v>
      </c>
      <c r="AQ934" t="s">
        <v>13791</v>
      </c>
      <c r="AR934" t="s">
        <v>13792</v>
      </c>
      <c r="AS934" t="s">
        <v>74</v>
      </c>
      <c r="AT934" t="s">
        <v>74</v>
      </c>
      <c r="AU934">
        <v>2007</v>
      </c>
      <c r="AV934">
        <v>25</v>
      </c>
      <c r="AW934" t="s">
        <v>74</v>
      </c>
      <c r="AX934" t="s">
        <v>74</v>
      </c>
      <c r="AY934" t="s">
        <v>74</v>
      </c>
      <c r="AZ934" t="s">
        <v>74</v>
      </c>
      <c r="BA934" t="s">
        <v>74</v>
      </c>
      <c r="BB934">
        <v>309</v>
      </c>
      <c r="BC934">
        <v>314</v>
      </c>
      <c r="BD934" t="s">
        <v>74</v>
      </c>
      <c r="BE934" t="s">
        <v>14303</v>
      </c>
      <c r="BF934" t="str">
        <f>HYPERLINK("http://dx.doi.org/10.1051/eas:2007112","http://dx.doi.org/10.1051/eas:2007112")</f>
        <v>http://dx.doi.org/10.1051/eas:2007112</v>
      </c>
      <c r="BG934" t="s">
        <v>74</v>
      </c>
      <c r="BH934" t="s">
        <v>74</v>
      </c>
      <c r="BI934">
        <v>6</v>
      </c>
      <c r="BJ934" t="s">
        <v>175</v>
      </c>
      <c r="BK934" t="s">
        <v>5953</v>
      </c>
      <c r="BL934" t="s">
        <v>175</v>
      </c>
      <c r="BM934" t="s">
        <v>13794</v>
      </c>
      <c r="BN934" t="s">
        <v>74</v>
      </c>
      <c r="BO934" t="s">
        <v>74</v>
      </c>
      <c r="BP934" t="s">
        <v>74</v>
      </c>
      <c r="BQ934" t="s">
        <v>74</v>
      </c>
      <c r="BR934" t="s">
        <v>101</v>
      </c>
      <c r="BS934" t="s">
        <v>14304</v>
      </c>
      <c r="BT934" t="str">
        <f>HYPERLINK("https%3A%2F%2Fwww.webofscience.com%2Fwos%2Fwoscc%2Ffull-record%2FWOS:000248621600050","View Full Record in Web of Science")</f>
        <v>View Full Record in Web of Science</v>
      </c>
    </row>
    <row r="935" spans="1:72" x14ac:dyDescent="0.15">
      <c r="A935" t="s">
        <v>5932</v>
      </c>
      <c r="B935" t="s">
        <v>14305</v>
      </c>
      <c r="C935" t="s">
        <v>74</v>
      </c>
      <c r="D935" t="s">
        <v>13775</v>
      </c>
      <c r="E935" t="s">
        <v>74</v>
      </c>
      <c r="F935" t="s">
        <v>14306</v>
      </c>
      <c r="G935" t="s">
        <v>74</v>
      </c>
      <c r="H935" t="s">
        <v>74</v>
      </c>
      <c r="I935" t="s">
        <v>14307</v>
      </c>
      <c r="J935" t="s">
        <v>13778</v>
      </c>
      <c r="K935" t="s">
        <v>13779</v>
      </c>
      <c r="L935" t="s">
        <v>74</v>
      </c>
      <c r="M935" t="s">
        <v>78</v>
      </c>
      <c r="N935" t="s">
        <v>5938</v>
      </c>
      <c r="O935" t="s">
        <v>13780</v>
      </c>
      <c r="P935" t="s">
        <v>13781</v>
      </c>
      <c r="Q935" t="s">
        <v>13782</v>
      </c>
      <c r="R935" t="s">
        <v>74</v>
      </c>
      <c r="S935" t="s">
        <v>74</v>
      </c>
      <c r="T935" t="s">
        <v>74</v>
      </c>
      <c r="U935" t="s">
        <v>14308</v>
      </c>
      <c r="V935" t="s">
        <v>14309</v>
      </c>
      <c r="W935" t="s">
        <v>14310</v>
      </c>
      <c r="X935" t="s">
        <v>14311</v>
      </c>
      <c r="Y935" t="s">
        <v>14312</v>
      </c>
      <c r="Z935" t="s">
        <v>74</v>
      </c>
      <c r="AA935" t="s">
        <v>74</v>
      </c>
      <c r="AB935" t="s">
        <v>74</v>
      </c>
      <c r="AC935" t="s">
        <v>74</v>
      </c>
      <c r="AD935" t="s">
        <v>74</v>
      </c>
      <c r="AE935" t="s">
        <v>74</v>
      </c>
      <c r="AF935" t="s">
        <v>74</v>
      </c>
      <c r="AG935">
        <v>8</v>
      </c>
      <c r="AH935">
        <v>1</v>
      </c>
      <c r="AI935">
        <v>1</v>
      </c>
      <c r="AJ935">
        <v>0</v>
      </c>
      <c r="AK935">
        <v>0</v>
      </c>
      <c r="AL935" t="s">
        <v>13787</v>
      </c>
      <c r="AM935" t="s">
        <v>13788</v>
      </c>
      <c r="AN935" t="s">
        <v>13789</v>
      </c>
      <c r="AO935" t="s">
        <v>13790</v>
      </c>
      <c r="AP935" t="s">
        <v>74</v>
      </c>
      <c r="AQ935" t="s">
        <v>13791</v>
      </c>
      <c r="AR935" t="s">
        <v>13792</v>
      </c>
      <c r="AS935" t="s">
        <v>74</v>
      </c>
      <c r="AT935" t="s">
        <v>74</v>
      </c>
      <c r="AU935">
        <v>2007</v>
      </c>
      <c r="AV935">
        <v>25</v>
      </c>
      <c r="AW935" t="s">
        <v>74</v>
      </c>
      <c r="AX935" t="s">
        <v>74</v>
      </c>
      <c r="AY935" t="s">
        <v>74</v>
      </c>
      <c r="AZ935" t="s">
        <v>74</v>
      </c>
      <c r="BA935" t="s">
        <v>74</v>
      </c>
      <c r="BB935">
        <v>315</v>
      </c>
      <c r="BC935">
        <v>320</v>
      </c>
      <c r="BD935" t="s">
        <v>74</v>
      </c>
      <c r="BE935" t="s">
        <v>14313</v>
      </c>
      <c r="BF935" t="str">
        <f>HYPERLINK("http://dx.doi.org/10.1051/eas:2007113","http://dx.doi.org/10.1051/eas:2007113")</f>
        <v>http://dx.doi.org/10.1051/eas:2007113</v>
      </c>
      <c r="BG935" t="s">
        <v>74</v>
      </c>
      <c r="BH935" t="s">
        <v>74</v>
      </c>
      <c r="BI935">
        <v>6</v>
      </c>
      <c r="BJ935" t="s">
        <v>175</v>
      </c>
      <c r="BK935" t="s">
        <v>5953</v>
      </c>
      <c r="BL935" t="s">
        <v>175</v>
      </c>
      <c r="BM935" t="s">
        <v>13794</v>
      </c>
      <c r="BN935" t="s">
        <v>74</v>
      </c>
      <c r="BO935" t="s">
        <v>74</v>
      </c>
      <c r="BP935" t="s">
        <v>74</v>
      </c>
      <c r="BQ935" t="s">
        <v>74</v>
      </c>
      <c r="BR935" t="s">
        <v>101</v>
      </c>
      <c r="BS935" t="s">
        <v>14314</v>
      </c>
      <c r="BT935" t="str">
        <f>HYPERLINK("https%3A%2F%2Fwww.webofscience.com%2Fwos%2Fwoscc%2Ffull-record%2FWOS:000248621600051","View Full Record in Web of Science")</f>
        <v>View Full Record in Web of Science</v>
      </c>
    </row>
    <row r="936" spans="1:72" x14ac:dyDescent="0.15">
      <c r="A936" t="s">
        <v>5932</v>
      </c>
      <c r="B936" t="s">
        <v>14315</v>
      </c>
      <c r="C936" t="s">
        <v>74</v>
      </c>
      <c r="D936" t="s">
        <v>13775</v>
      </c>
      <c r="E936" t="s">
        <v>74</v>
      </c>
      <c r="F936" t="s">
        <v>14316</v>
      </c>
      <c r="G936" t="s">
        <v>74</v>
      </c>
      <c r="H936" t="s">
        <v>74</v>
      </c>
      <c r="I936" t="s">
        <v>14317</v>
      </c>
      <c r="J936" t="s">
        <v>13799</v>
      </c>
      <c r="K936" t="s">
        <v>13800</v>
      </c>
      <c r="L936" t="s">
        <v>74</v>
      </c>
      <c r="M936" t="s">
        <v>78</v>
      </c>
      <c r="N936" t="s">
        <v>5938</v>
      </c>
      <c r="O936" t="s">
        <v>13780</v>
      </c>
      <c r="P936" t="s">
        <v>13781</v>
      </c>
      <c r="Q936" t="s">
        <v>13782</v>
      </c>
      <c r="R936" t="s">
        <v>74</v>
      </c>
      <c r="S936" t="s">
        <v>74</v>
      </c>
      <c r="T936" t="s">
        <v>74</v>
      </c>
      <c r="U936" t="s">
        <v>14318</v>
      </c>
      <c r="V936" t="s">
        <v>14319</v>
      </c>
      <c r="W936" t="s">
        <v>13934</v>
      </c>
      <c r="X936" t="s">
        <v>14320</v>
      </c>
      <c r="Y936" t="s">
        <v>14321</v>
      </c>
      <c r="Z936" t="s">
        <v>74</v>
      </c>
      <c r="AA936" t="s">
        <v>13857</v>
      </c>
      <c r="AB936" t="s">
        <v>14322</v>
      </c>
      <c r="AC936" t="s">
        <v>74</v>
      </c>
      <c r="AD936" t="s">
        <v>74</v>
      </c>
      <c r="AE936" t="s">
        <v>74</v>
      </c>
      <c r="AF936" t="s">
        <v>74</v>
      </c>
      <c r="AG936">
        <v>9</v>
      </c>
      <c r="AH936">
        <v>9</v>
      </c>
      <c r="AI936">
        <v>9</v>
      </c>
      <c r="AJ936">
        <v>0</v>
      </c>
      <c r="AK936">
        <v>3</v>
      </c>
      <c r="AL936" t="s">
        <v>13787</v>
      </c>
      <c r="AM936" t="s">
        <v>13788</v>
      </c>
      <c r="AN936" t="s">
        <v>13789</v>
      </c>
      <c r="AO936" t="s">
        <v>13790</v>
      </c>
      <c r="AP936" t="s">
        <v>74</v>
      </c>
      <c r="AQ936" t="s">
        <v>13791</v>
      </c>
      <c r="AR936" t="s">
        <v>13792</v>
      </c>
      <c r="AS936" t="s">
        <v>74</v>
      </c>
      <c r="AT936" t="s">
        <v>74</v>
      </c>
      <c r="AU936">
        <v>2007</v>
      </c>
      <c r="AV936">
        <v>25</v>
      </c>
      <c r="AW936" t="s">
        <v>74</v>
      </c>
      <c r="AX936" t="s">
        <v>74</v>
      </c>
      <c r="AY936" t="s">
        <v>74</v>
      </c>
      <c r="AZ936" t="s">
        <v>74</v>
      </c>
      <c r="BA936" t="s">
        <v>74</v>
      </c>
      <c r="BB936">
        <v>321</v>
      </c>
      <c r="BC936">
        <v>326</v>
      </c>
      <c r="BD936" t="s">
        <v>74</v>
      </c>
      <c r="BE936" t="s">
        <v>14323</v>
      </c>
      <c r="BF936" t="str">
        <f>HYPERLINK("http://dx.doi.org/10.1051/eas:2007114","http://dx.doi.org/10.1051/eas:2007114")</f>
        <v>http://dx.doi.org/10.1051/eas:2007114</v>
      </c>
      <c r="BG936" t="s">
        <v>74</v>
      </c>
      <c r="BH936" t="s">
        <v>74</v>
      </c>
      <c r="BI936">
        <v>6</v>
      </c>
      <c r="BJ936" t="s">
        <v>175</v>
      </c>
      <c r="BK936" t="s">
        <v>5953</v>
      </c>
      <c r="BL936" t="s">
        <v>175</v>
      </c>
      <c r="BM936" t="s">
        <v>13794</v>
      </c>
      <c r="BN936" t="s">
        <v>74</v>
      </c>
      <c r="BO936" t="s">
        <v>1249</v>
      </c>
      <c r="BP936" t="s">
        <v>74</v>
      </c>
      <c r="BQ936" t="s">
        <v>74</v>
      </c>
      <c r="BR936" t="s">
        <v>101</v>
      </c>
      <c r="BS936" t="s">
        <v>14324</v>
      </c>
      <c r="BT936" t="str">
        <f>HYPERLINK("https%3A%2F%2Fwww.webofscience.com%2Fwos%2Fwoscc%2Ffull-record%2FWOS:000248621600052","View Full Record in Web of Science")</f>
        <v>View Full Record in Web of Science</v>
      </c>
    </row>
    <row r="937" spans="1:72" x14ac:dyDescent="0.15">
      <c r="A937" t="s">
        <v>5932</v>
      </c>
      <c r="B937" t="s">
        <v>14325</v>
      </c>
      <c r="C937" t="s">
        <v>74</v>
      </c>
      <c r="D937" t="s">
        <v>13775</v>
      </c>
      <c r="E937" t="s">
        <v>74</v>
      </c>
      <c r="F937" t="s">
        <v>14326</v>
      </c>
      <c r="G937" t="s">
        <v>74</v>
      </c>
      <c r="H937" t="s">
        <v>74</v>
      </c>
      <c r="I937" t="s">
        <v>14327</v>
      </c>
      <c r="J937" t="s">
        <v>13778</v>
      </c>
      <c r="K937" t="s">
        <v>13779</v>
      </c>
      <c r="L937" t="s">
        <v>74</v>
      </c>
      <c r="M937" t="s">
        <v>78</v>
      </c>
      <c r="N937" t="s">
        <v>5938</v>
      </c>
      <c r="O937" t="s">
        <v>13780</v>
      </c>
      <c r="P937" t="s">
        <v>13781</v>
      </c>
      <c r="Q937" t="s">
        <v>13782</v>
      </c>
      <c r="R937" t="s">
        <v>74</v>
      </c>
      <c r="S937" t="s">
        <v>74</v>
      </c>
      <c r="T937" t="s">
        <v>74</v>
      </c>
      <c r="U937" t="s">
        <v>14328</v>
      </c>
      <c r="V937" t="s">
        <v>14329</v>
      </c>
      <c r="W937" t="s">
        <v>14330</v>
      </c>
      <c r="X937" t="s">
        <v>14331</v>
      </c>
      <c r="Y937" t="s">
        <v>14332</v>
      </c>
      <c r="Z937" t="s">
        <v>74</v>
      </c>
      <c r="AA937" t="s">
        <v>1481</v>
      </c>
      <c r="AB937" t="s">
        <v>1482</v>
      </c>
      <c r="AC937" t="s">
        <v>74</v>
      </c>
      <c r="AD937" t="s">
        <v>74</v>
      </c>
      <c r="AE937" t="s">
        <v>74</v>
      </c>
      <c r="AF937" t="s">
        <v>74</v>
      </c>
      <c r="AG937">
        <v>12</v>
      </c>
      <c r="AH937">
        <v>0</v>
      </c>
      <c r="AI937">
        <v>0</v>
      </c>
      <c r="AJ937">
        <v>0</v>
      </c>
      <c r="AK937">
        <v>0</v>
      </c>
      <c r="AL937" t="s">
        <v>13787</v>
      </c>
      <c r="AM937" t="s">
        <v>13788</v>
      </c>
      <c r="AN937" t="s">
        <v>13789</v>
      </c>
      <c r="AO937" t="s">
        <v>13790</v>
      </c>
      <c r="AP937" t="s">
        <v>74</v>
      </c>
      <c r="AQ937" t="s">
        <v>13791</v>
      </c>
      <c r="AR937" t="s">
        <v>13792</v>
      </c>
      <c r="AS937" t="s">
        <v>74</v>
      </c>
      <c r="AT937" t="s">
        <v>74</v>
      </c>
      <c r="AU937">
        <v>2007</v>
      </c>
      <c r="AV937">
        <v>25</v>
      </c>
      <c r="AW937" t="s">
        <v>74</v>
      </c>
      <c r="AX937" t="s">
        <v>74</v>
      </c>
      <c r="AY937" t="s">
        <v>74</v>
      </c>
      <c r="AZ937" t="s">
        <v>74</v>
      </c>
      <c r="BA937" t="s">
        <v>74</v>
      </c>
      <c r="BB937">
        <v>327</v>
      </c>
      <c r="BC937">
        <v>332</v>
      </c>
      <c r="BD937" t="s">
        <v>74</v>
      </c>
      <c r="BE937" t="s">
        <v>14333</v>
      </c>
      <c r="BF937" t="str">
        <f>HYPERLINK("http://dx.doi.org/10.1051/eas:2007115","http://dx.doi.org/10.1051/eas:2007115")</f>
        <v>http://dx.doi.org/10.1051/eas:2007115</v>
      </c>
      <c r="BG937" t="s">
        <v>74</v>
      </c>
      <c r="BH937" t="s">
        <v>74</v>
      </c>
      <c r="BI937">
        <v>6</v>
      </c>
      <c r="BJ937" t="s">
        <v>175</v>
      </c>
      <c r="BK937" t="s">
        <v>5953</v>
      </c>
      <c r="BL937" t="s">
        <v>175</v>
      </c>
      <c r="BM937" t="s">
        <v>13794</v>
      </c>
      <c r="BN937" t="s">
        <v>74</v>
      </c>
      <c r="BO937" t="s">
        <v>74</v>
      </c>
      <c r="BP937" t="s">
        <v>74</v>
      </c>
      <c r="BQ937" t="s">
        <v>74</v>
      </c>
      <c r="BR937" t="s">
        <v>101</v>
      </c>
      <c r="BS937" t="s">
        <v>14334</v>
      </c>
      <c r="BT937" t="str">
        <f>HYPERLINK("https%3A%2F%2Fwww.webofscience.com%2Fwos%2Fwoscc%2Ffull-record%2FWOS:000248621600053","View Full Record in Web of Science")</f>
        <v>View Full Record in Web of Science</v>
      </c>
    </row>
    <row r="938" spans="1:72" x14ac:dyDescent="0.15">
      <c r="A938" t="s">
        <v>5932</v>
      </c>
      <c r="B938" t="s">
        <v>14335</v>
      </c>
      <c r="C938" t="s">
        <v>74</v>
      </c>
      <c r="D938" t="s">
        <v>13775</v>
      </c>
      <c r="E938" t="s">
        <v>74</v>
      </c>
      <c r="F938" t="s">
        <v>14336</v>
      </c>
      <c r="G938" t="s">
        <v>74</v>
      </c>
      <c r="H938" t="s">
        <v>74</v>
      </c>
      <c r="I938" t="s">
        <v>14337</v>
      </c>
      <c r="J938" t="s">
        <v>13778</v>
      </c>
      <c r="K938" t="s">
        <v>13779</v>
      </c>
      <c r="L938" t="s">
        <v>74</v>
      </c>
      <c r="M938" t="s">
        <v>78</v>
      </c>
      <c r="N938" t="s">
        <v>5938</v>
      </c>
      <c r="O938" t="s">
        <v>13780</v>
      </c>
      <c r="P938" t="s">
        <v>13781</v>
      </c>
      <c r="Q938" t="s">
        <v>13782</v>
      </c>
      <c r="R938" t="s">
        <v>74</v>
      </c>
      <c r="S938" t="s">
        <v>74</v>
      </c>
      <c r="T938" t="s">
        <v>74</v>
      </c>
      <c r="U938" t="s">
        <v>14338</v>
      </c>
      <c r="V938" t="s">
        <v>14339</v>
      </c>
      <c r="W938" t="s">
        <v>14340</v>
      </c>
      <c r="X938" t="s">
        <v>13811</v>
      </c>
      <c r="Y938" t="s">
        <v>14341</v>
      </c>
      <c r="Z938" t="s">
        <v>74</v>
      </c>
      <c r="AA938" t="s">
        <v>14000</v>
      </c>
      <c r="AB938" t="s">
        <v>14342</v>
      </c>
      <c r="AC938" t="s">
        <v>74</v>
      </c>
      <c r="AD938" t="s">
        <v>74</v>
      </c>
      <c r="AE938" t="s">
        <v>74</v>
      </c>
      <c r="AF938" t="s">
        <v>74</v>
      </c>
      <c r="AG938">
        <v>7</v>
      </c>
      <c r="AH938">
        <v>3</v>
      </c>
      <c r="AI938">
        <v>3</v>
      </c>
      <c r="AJ938">
        <v>0</v>
      </c>
      <c r="AK938">
        <v>0</v>
      </c>
      <c r="AL938" t="s">
        <v>13787</v>
      </c>
      <c r="AM938" t="s">
        <v>13788</v>
      </c>
      <c r="AN938" t="s">
        <v>13789</v>
      </c>
      <c r="AO938" t="s">
        <v>13790</v>
      </c>
      <c r="AP938" t="s">
        <v>74</v>
      </c>
      <c r="AQ938" t="s">
        <v>13791</v>
      </c>
      <c r="AR938" t="s">
        <v>13792</v>
      </c>
      <c r="AS938" t="s">
        <v>74</v>
      </c>
      <c r="AT938" t="s">
        <v>74</v>
      </c>
      <c r="AU938">
        <v>2007</v>
      </c>
      <c r="AV938">
        <v>25</v>
      </c>
      <c r="AW938" t="s">
        <v>74</v>
      </c>
      <c r="AX938" t="s">
        <v>74</v>
      </c>
      <c r="AY938" t="s">
        <v>74</v>
      </c>
      <c r="AZ938" t="s">
        <v>74</v>
      </c>
      <c r="BA938" t="s">
        <v>74</v>
      </c>
      <c r="BB938">
        <v>333</v>
      </c>
      <c r="BC938">
        <v>338</v>
      </c>
      <c r="BD938" t="s">
        <v>74</v>
      </c>
      <c r="BE938" t="s">
        <v>14343</v>
      </c>
      <c r="BF938" t="str">
        <f>HYPERLINK("http://dx.doi.org/10.1051/eas:2007116","http://dx.doi.org/10.1051/eas:2007116")</f>
        <v>http://dx.doi.org/10.1051/eas:2007116</v>
      </c>
      <c r="BG938" t="s">
        <v>74</v>
      </c>
      <c r="BH938" t="s">
        <v>74</v>
      </c>
      <c r="BI938">
        <v>6</v>
      </c>
      <c r="BJ938" t="s">
        <v>175</v>
      </c>
      <c r="BK938" t="s">
        <v>5953</v>
      </c>
      <c r="BL938" t="s">
        <v>175</v>
      </c>
      <c r="BM938" t="s">
        <v>13794</v>
      </c>
      <c r="BN938" t="s">
        <v>74</v>
      </c>
      <c r="BO938" t="s">
        <v>74</v>
      </c>
      <c r="BP938" t="s">
        <v>74</v>
      </c>
      <c r="BQ938" t="s">
        <v>74</v>
      </c>
      <c r="BR938" t="s">
        <v>101</v>
      </c>
      <c r="BS938" t="s">
        <v>14344</v>
      </c>
      <c r="BT938" t="str">
        <f>HYPERLINK("https%3A%2F%2Fwww.webofscience.com%2Fwos%2Fwoscc%2Ffull-record%2FWOS:000248621600054","View Full Record in Web of Science")</f>
        <v>View Full Record in Web of Science</v>
      </c>
    </row>
    <row r="939" spans="1:72" x14ac:dyDescent="0.15">
      <c r="A939" t="s">
        <v>5932</v>
      </c>
      <c r="B939" t="s">
        <v>14345</v>
      </c>
      <c r="C939" t="s">
        <v>74</v>
      </c>
      <c r="D939" t="s">
        <v>13775</v>
      </c>
      <c r="E939" t="s">
        <v>74</v>
      </c>
      <c r="F939" t="s">
        <v>14346</v>
      </c>
      <c r="G939" t="s">
        <v>74</v>
      </c>
      <c r="H939" t="s">
        <v>74</v>
      </c>
      <c r="I939" t="s">
        <v>14347</v>
      </c>
      <c r="J939" t="s">
        <v>13799</v>
      </c>
      <c r="K939" t="s">
        <v>13800</v>
      </c>
      <c r="L939" t="s">
        <v>74</v>
      </c>
      <c r="M939" t="s">
        <v>78</v>
      </c>
      <c r="N939" t="s">
        <v>5938</v>
      </c>
      <c r="O939" t="s">
        <v>13780</v>
      </c>
      <c r="P939" t="s">
        <v>13781</v>
      </c>
      <c r="Q939" t="s">
        <v>13782</v>
      </c>
      <c r="R939" t="s">
        <v>74</v>
      </c>
      <c r="S939" t="s">
        <v>74</v>
      </c>
      <c r="T939" t="s">
        <v>74</v>
      </c>
      <c r="U939" t="s">
        <v>74</v>
      </c>
      <c r="V939" t="s">
        <v>14348</v>
      </c>
      <c r="W939" t="s">
        <v>14349</v>
      </c>
      <c r="X939" t="s">
        <v>74</v>
      </c>
      <c r="Y939" t="s">
        <v>14350</v>
      </c>
      <c r="Z939" t="s">
        <v>74</v>
      </c>
      <c r="AA939" t="s">
        <v>74</v>
      </c>
      <c r="AB939" t="s">
        <v>14351</v>
      </c>
      <c r="AC939" t="s">
        <v>74</v>
      </c>
      <c r="AD939" t="s">
        <v>74</v>
      </c>
      <c r="AE939" t="s">
        <v>74</v>
      </c>
      <c r="AF939" t="s">
        <v>74</v>
      </c>
      <c r="AG939">
        <v>3</v>
      </c>
      <c r="AH939">
        <v>1</v>
      </c>
      <c r="AI939">
        <v>1</v>
      </c>
      <c r="AJ939">
        <v>0</v>
      </c>
      <c r="AK939">
        <v>0</v>
      </c>
      <c r="AL939" t="s">
        <v>13787</v>
      </c>
      <c r="AM939" t="s">
        <v>13788</v>
      </c>
      <c r="AN939" t="s">
        <v>13789</v>
      </c>
      <c r="AO939" t="s">
        <v>13790</v>
      </c>
      <c r="AP939" t="s">
        <v>74</v>
      </c>
      <c r="AQ939" t="s">
        <v>13791</v>
      </c>
      <c r="AR939" t="s">
        <v>13792</v>
      </c>
      <c r="AS939" t="s">
        <v>74</v>
      </c>
      <c r="AT939" t="s">
        <v>74</v>
      </c>
      <c r="AU939">
        <v>2007</v>
      </c>
      <c r="AV939">
        <v>25</v>
      </c>
      <c r="AW939" t="s">
        <v>74</v>
      </c>
      <c r="AX939" t="s">
        <v>74</v>
      </c>
      <c r="AY939" t="s">
        <v>74</v>
      </c>
      <c r="AZ939" t="s">
        <v>74</v>
      </c>
      <c r="BA939" t="s">
        <v>74</v>
      </c>
      <c r="BB939">
        <v>339</v>
      </c>
      <c r="BC939">
        <v>342</v>
      </c>
      <c r="BD939" t="s">
        <v>74</v>
      </c>
      <c r="BE939" t="s">
        <v>14352</v>
      </c>
      <c r="BF939" t="str">
        <f>HYPERLINK("http://dx.doi.org/10.1051/eas:2007117","http://dx.doi.org/10.1051/eas:2007117")</f>
        <v>http://dx.doi.org/10.1051/eas:2007117</v>
      </c>
      <c r="BG939" t="s">
        <v>74</v>
      </c>
      <c r="BH939" t="s">
        <v>74</v>
      </c>
      <c r="BI939">
        <v>4</v>
      </c>
      <c r="BJ939" t="s">
        <v>175</v>
      </c>
      <c r="BK939" t="s">
        <v>5953</v>
      </c>
      <c r="BL939" t="s">
        <v>175</v>
      </c>
      <c r="BM939" t="s">
        <v>13794</v>
      </c>
      <c r="BN939" t="s">
        <v>74</v>
      </c>
      <c r="BO939" t="s">
        <v>74</v>
      </c>
      <c r="BP939" t="s">
        <v>74</v>
      </c>
      <c r="BQ939" t="s">
        <v>74</v>
      </c>
      <c r="BR939" t="s">
        <v>101</v>
      </c>
      <c r="BS939" t="s">
        <v>14353</v>
      </c>
      <c r="BT939" t="str">
        <f>HYPERLINK("https%3A%2F%2Fwww.webofscience.com%2Fwos%2Fwoscc%2Ffull-record%2FWOS:000248621600055","View Full Record in Web of Science")</f>
        <v>View Full Record in Web of Science</v>
      </c>
    </row>
    <row r="940" spans="1:72" x14ac:dyDescent="0.15">
      <c r="A940" t="s">
        <v>5932</v>
      </c>
      <c r="B940" t="s">
        <v>14354</v>
      </c>
      <c r="C940" t="s">
        <v>74</v>
      </c>
      <c r="D940" t="s">
        <v>74</v>
      </c>
      <c r="E940" t="s">
        <v>14355</v>
      </c>
      <c r="F940" t="s">
        <v>14356</v>
      </c>
      <c r="G940" t="s">
        <v>74</v>
      </c>
      <c r="H940" t="s">
        <v>74</v>
      </c>
      <c r="I940" t="s">
        <v>14357</v>
      </c>
      <c r="J940" t="s">
        <v>14358</v>
      </c>
      <c r="K940" t="s">
        <v>14359</v>
      </c>
      <c r="L940" t="s">
        <v>74</v>
      </c>
      <c r="M940" t="s">
        <v>78</v>
      </c>
      <c r="N940" t="s">
        <v>5938</v>
      </c>
      <c r="O940" t="s">
        <v>14360</v>
      </c>
      <c r="P940" t="s">
        <v>14361</v>
      </c>
      <c r="Q940" t="s">
        <v>14362</v>
      </c>
      <c r="R940" t="s">
        <v>74</v>
      </c>
      <c r="S940" t="s">
        <v>74</v>
      </c>
      <c r="T940" t="s">
        <v>14363</v>
      </c>
      <c r="U940" t="s">
        <v>74</v>
      </c>
      <c r="V940" t="s">
        <v>14364</v>
      </c>
      <c r="W940" t="s">
        <v>14365</v>
      </c>
      <c r="X940" t="s">
        <v>14366</v>
      </c>
      <c r="Y940" t="s">
        <v>14367</v>
      </c>
      <c r="Z940" t="s">
        <v>14368</v>
      </c>
      <c r="AA940" t="s">
        <v>14369</v>
      </c>
      <c r="AB940" t="s">
        <v>14370</v>
      </c>
      <c r="AC940" t="s">
        <v>14371</v>
      </c>
      <c r="AD940" t="s">
        <v>14372</v>
      </c>
      <c r="AE940" t="s">
        <v>14373</v>
      </c>
      <c r="AF940" t="s">
        <v>74</v>
      </c>
      <c r="AG940">
        <v>13</v>
      </c>
      <c r="AH940">
        <v>0</v>
      </c>
      <c r="AI940">
        <v>0</v>
      </c>
      <c r="AJ940">
        <v>0</v>
      </c>
      <c r="AK940">
        <v>0</v>
      </c>
      <c r="AL940" t="s">
        <v>14355</v>
      </c>
      <c r="AM940" t="s">
        <v>1593</v>
      </c>
      <c r="AN940" t="s">
        <v>14374</v>
      </c>
      <c r="AO940" t="s">
        <v>14375</v>
      </c>
      <c r="AP940" t="s">
        <v>14376</v>
      </c>
      <c r="AQ940" t="s">
        <v>14377</v>
      </c>
      <c r="AR940" t="s">
        <v>14378</v>
      </c>
      <c r="AS940" t="s">
        <v>74</v>
      </c>
      <c r="AT940" t="s">
        <v>74</v>
      </c>
      <c r="AU940">
        <v>2007</v>
      </c>
      <c r="AV940" t="s">
        <v>74</v>
      </c>
      <c r="AW940" t="s">
        <v>74</v>
      </c>
      <c r="AX940" t="s">
        <v>74</v>
      </c>
      <c r="AY940" t="s">
        <v>74</v>
      </c>
      <c r="AZ940" t="s">
        <v>74</v>
      </c>
      <c r="BA940" t="s">
        <v>74</v>
      </c>
      <c r="BB940">
        <v>401</v>
      </c>
      <c r="BC940" t="s">
        <v>5541</v>
      </c>
      <c r="BD940" t="s">
        <v>74</v>
      </c>
      <c r="BE940" t="s">
        <v>74</v>
      </c>
      <c r="BF940" t="s">
        <v>74</v>
      </c>
      <c r="BG940" t="s">
        <v>74</v>
      </c>
      <c r="BH940" t="s">
        <v>74</v>
      </c>
      <c r="BI940">
        <v>2</v>
      </c>
      <c r="BJ940" t="s">
        <v>14379</v>
      </c>
      <c r="BK940" t="s">
        <v>5953</v>
      </c>
      <c r="BL940" t="s">
        <v>6448</v>
      </c>
      <c r="BM940" t="s">
        <v>14380</v>
      </c>
      <c r="BN940" t="s">
        <v>74</v>
      </c>
      <c r="BO940" t="s">
        <v>74</v>
      </c>
      <c r="BP940" t="s">
        <v>74</v>
      </c>
      <c r="BQ940" t="s">
        <v>74</v>
      </c>
      <c r="BR940" t="s">
        <v>101</v>
      </c>
      <c r="BS940" t="s">
        <v>14381</v>
      </c>
      <c r="BT940" t="str">
        <f>HYPERLINK("https%3A%2F%2Fwww.webofscience.com%2Fwos%2Fwoscc%2Ffull-record%2FWOS:000256425000081","View Full Record in Web of Science")</f>
        <v>View Full Record in Web of Science</v>
      </c>
    </row>
    <row r="941" spans="1:72" x14ac:dyDescent="0.15">
      <c r="A941" t="s">
        <v>5932</v>
      </c>
      <c r="B941" t="s">
        <v>14382</v>
      </c>
      <c r="C941" t="s">
        <v>74</v>
      </c>
      <c r="D941" t="s">
        <v>74</v>
      </c>
      <c r="E941" t="s">
        <v>14355</v>
      </c>
      <c r="F941" t="s">
        <v>14383</v>
      </c>
      <c r="G941" t="s">
        <v>74</v>
      </c>
      <c r="H941" t="s">
        <v>74</v>
      </c>
      <c r="I941" t="s">
        <v>14384</v>
      </c>
      <c r="J941" t="s">
        <v>14385</v>
      </c>
      <c r="K941" t="s">
        <v>74</v>
      </c>
      <c r="L941" t="s">
        <v>74</v>
      </c>
      <c r="M941" t="s">
        <v>78</v>
      </c>
      <c r="N941" t="s">
        <v>5938</v>
      </c>
      <c r="O941" t="s">
        <v>14386</v>
      </c>
      <c r="P941" t="s">
        <v>14387</v>
      </c>
      <c r="Q941" t="s">
        <v>14388</v>
      </c>
      <c r="R941" t="s">
        <v>74</v>
      </c>
      <c r="S941" t="s">
        <v>74</v>
      </c>
      <c r="T941" t="s">
        <v>74</v>
      </c>
      <c r="U941" t="s">
        <v>74</v>
      </c>
      <c r="V941" t="s">
        <v>14389</v>
      </c>
      <c r="W941" t="s">
        <v>14390</v>
      </c>
      <c r="X941" t="s">
        <v>14391</v>
      </c>
      <c r="Y941" t="s">
        <v>14392</v>
      </c>
      <c r="Z941" t="s">
        <v>14393</v>
      </c>
      <c r="AA941" t="s">
        <v>14394</v>
      </c>
      <c r="AB941" t="s">
        <v>74</v>
      </c>
      <c r="AC941" t="s">
        <v>14395</v>
      </c>
      <c r="AD941" t="s">
        <v>14396</v>
      </c>
      <c r="AE941" t="s">
        <v>14397</v>
      </c>
      <c r="AF941" t="s">
        <v>74</v>
      </c>
      <c r="AG941">
        <v>3</v>
      </c>
      <c r="AH941">
        <v>0</v>
      </c>
      <c r="AI941">
        <v>0</v>
      </c>
      <c r="AJ941">
        <v>0</v>
      </c>
      <c r="AK941">
        <v>0</v>
      </c>
      <c r="AL941" t="s">
        <v>14355</v>
      </c>
      <c r="AM941" t="s">
        <v>1593</v>
      </c>
      <c r="AN941" t="s">
        <v>14374</v>
      </c>
      <c r="AO941" t="s">
        <v>74</v>
      </c>
      <c r="AP941" t="s">
        <v>74</v>
      </c>
      <c r="AQ941" t="s">
        <v>14398</v>
      </c>
      <c r="AR941" t="s">
        <v>74</v>
      </c>
      <c r="AS941" t="s">
        <v>74</v>
      </c>
      <c r="AT941" t="s">
        <v>74</v>
      </c>
      <c r="AU941">
        <v>2007</v>
      </c>
      <c r="AV941" t="s">
        <v>74</v>
      </c>
      <c r="AW941" t="s">
        <v>74</v>
      </c>
      <c r="AX941" t="s">
        <v>74</v>
      </c>
      <c r="AY941" t="s">
        <v>74</v>
      </c>
      <c r="AZ941" t="s">
        <v>74</v>
      </c>
      <c r="BA941" t="s">
        <v>74</v>
      </c>
      <c r="BB941">
        <v>212</v>
      </c>
      <c r="BC941" t="s">
        <v>5541</v>
      </c>
      <c r="BD941" t="s">
        <v>74</v>
      </c>
      <c r="BE941" t="s">
        <v>74</v>
      </c>
      <c r="BF941" t="s">
        <v>74</v>
      </c>
      <c r="BG941" t="s">
        <v>74</v>
      </c>
      <c r="BH941" t="s">
        <v>74</v>
      </c>
      <c r="BI941">
        <v>2</v>
      </c>
      <c r="BJ941" t="s">
        <v>14399</v>
      </c>
      <c r="BK941" t="s">
        <v>5953</v>
      </c>
      <c r="BL941" t="s">
        <v>14400</v>
      </c>
      <c r="BM941" t="s">
        <v>14401</v>
      </c>
      <c r="BN941" t="s">
        <v>74</v>
      </c>
      <c r="BO941" t="s">
        <v>74</v>
      </c>
      <c r="BP941" t="s">
        <v>74</v>
      </c>
      <c r="BQ941" t="s">
        <v>74</v>
      </c>
      <c r="BR941" t="s">
        <v>101</v>
      </c>
      <c r="BS941" t="s">
        <v>14402</v>
      </c>
      <c r="BT941" t="str">
        <f>HYPERLINK("https%3A%2F%2Fwww.webofscience.com%2Fwos%2Fwoscc%2Ffull-record%2FWOS:000259261000048","View Full Record in Web of Science")</f>
        <v>View Full Record in Web of Science</v>
      </c>
    </row>
    <row r="942" spans="1:72" x14ac:dyDescent="0.15">
      <c r="A942" t="s">
        <v>5932</v>
      </c>
      <c r="B942" t="s">
        <v>14403</v>
      </c>
      <c r="C942" t="s">
        <v>74</v>
      </c>
      <c r="D942" t="s">
        <v>74</v>
      </c>
      <c r="E942" t="s">
        <v>14355</v>
      </c>
      <c r="F942" t="s">
        <v>14404</v>
      </c>
      <c r="G942" t="s">
        <v>74</v>
      </c>
      <c r="H942" t="s">
        <v>74</v>
      </c>
      <c r="I942" t="s">
        <v>14405</v>
      </c>
      <c r="J942" t="s">
        <v>14406</v>
      </c>
      <c r="K942" t="s">
        <v>74</v>
      </c>
      <c r="L942" t="s">
        <v>74</v>
      </c>
      <c r="M942" t="s">
        <v>78</v>
      </c>
      <c r="N942" t="s">
        <v>5938</v>
      </c>
      <c r="O942" t="s">
        <v>14407</v>
      </c>
      <c r="P942" t="s">
        <v>14408</v>
      </c>
      <c r="Q942" t="s">
        <v>14409</v>
      </c>
      <c r="R942" t="s">
        <v>74</v>
      </c>
      <c r="S942" t="s">
        <v>74</v>
      </c>
      <c r="T942" t="s">
        <v>74</v>
      </c>
      <c r="U942" t="s">
        <v>74</v>
      </c>
      <c r="V942" t="s">
        <v>14410</v>
      </c>
      <c r="W942" t="s">
        <v>14411</v>
      </c>
      <c r="X942" t="s">
        <v>14412</v>
      </c>
      <c r="Y942" t="s">
        <v>14413</v>
      </c>
      <c r="Z942" t="s">
        <v>74</v>
      </c>
      <c r="AA942" t="s">
        <v>14414</v>
      </c>
      <c r="AB942" t="s">
        <v>14415</v>
      </c>
      <c r="AC942" t="s">
        <v>74</v>
      </c>
      <c r="AD942" t="s">
        <v>74</v>
      </c>
      <c r="AE942" t="s">
        <v>74</v>
      </c>
      <c r="AF942" t="s">
        <v>74</v>
      </c>
      <c r="AG942">
        <v>7</v>
      </c>
      <c r="AH942">
        <v>0</v>
      </c>
      <c r="AI942">
        <v>0</v>
      </c>
      <c r="AJ942">
        <v>0</v>
      </c>
      <c r="AK942">
        <v>0</v>
      </c>
      <c r="AL942" t="s">
        <v>14355</v>
      </c>
      <c r="AM942" t="s">
        <v>1593</v>
      </c>
      <c r="AN942" t="s">
        <v>14374</v>
      </c>
      <c r="AO942" t="s">
        <v>74</v>
      </c>
      <c r="AP942" t="s">
        <v>74</v>
      </c>
      <c r="AQ942" t="s">
        <v>14416</v>
      </c>
      <c r="AR942" t="s">
        <v>74</v>
      </c>
      <c r="AS942" t="s">
        <v>74</v>
      </c>
      <c r="AT942" t="s">
        <v>74</v>
      </c>
      <c r="AU942">
        <v>2007</v>
      </c>
      <c r="AV942" t="s">
        <v>74</v>
      </c>
      <c r="AW942" t="s">
        <v>74</v>
      </c>
      <c r="AX942" t="s">
        <v>74</v>
      </c>
      <c r="AY942" t="s">
        <v>74</v>
      </c>
      <c r="AZ942" t="s">
        <v>74</v>
      </c>
      <c r="BA942" t="s">
        <v>74</v>
      </c>
      <c r="BB942">
        <v>1641</v>
      </c>
      <c r="BC942">
        <v>1643</v>
      </c>
      <c r="BD942" t="s">
        <v>74</v>
      </c>
      <c r="BE942" t="s">
        <v>14417</v>
      </c>
      <c r="BF942" t="str">
        <f>HYPERLINK("http://dx.doi.org/10.1109/EUMC.2007.4405526","http://dx.doi.org/10.1109/EUMC.2007.4405526")</f>
        <v>http://dx.doi.org/10.1109/EUMC.2007.4405526</v>
      </c>
      <c r="BG942" t="s">
        <v>74</v>
      </c>
      <c r="BH942" t="s">
        <v>74</v>
      </c>
      <c r="BI942">
        <v>3</v>
      </c>
      <c r="BJ942" t="s">
        <v>14418</v>
      </c>
      <c r="BK942" t="s">
        <v>5953</v>
      </c>
      <c r="BL942" t="s">
        <v>14419</v>
      </c>
      <c r="BM942" t="s">
        <v>14420</v>
      </c>
      <c r="BN942" t="s">
        <v>74</v>
      </c>
      <c r="BO942" t="s">
        <v>74</v>
      </c>
      <c r="BP942" t="s">
        <v>74</v>
      </c>
      <c r="BQ942" t="s">
        <v>74</v>
      </c>
      <c r="BR942" t="s">
        <v>101</v>
      </c>
      <c r="BS942" t="s">
        <v>14421</v>
      </c>
      <c r="BT942" t="str">
        <f>HYPERLINK("https%3A%2F%2Fwww.webofscience.com%2Fwos%2Fwoscc%2Ffull-record%2FWOS:000255921400417","View Full Record in Web of Science")</f>
        <v>View Full Record in Web of Science</v>
      </c>
    </row>
    <row r="943" spans="1:72" x14ac:dyDescent="0.15">
      <c r="A943" t="s">
        <v>5932</v>
      </c>
      <c r="B943" t="s">
        <v>14403</v>
      </c>
      <c r="C943" t="s">
        <v>74</v>
      </c>
      <c r="D943" t="s">
        <v>74</v>
      </c>
      <c r="E943" t="s">
        <v>14355</v>
      </c>
      <c r="F943" t="s">
        <v>14404</v>
      </c>
      <c r="G943" t="s">
        <v>74</v>
      </c>
      <c r="H943" t="s">
        <v>74</v>
      </c>
      <c r="I943" t="s">
        <v>14422</v>
      </c>
      <c r="J943" t="s">
        <v>14423</v>
      </c>
      <c r="K943" t="s">
        <v>14424</v>
      </c>
      <c r="L943" t="s">
        <v>74</v>
      </c>
      <c r="M943" t="s">
        <v>78</v>
      </c>
      <c r="N943" t="s">
        <v>5938</v>
      </c>
      <c r="O943" t="s">
        <v>14425</v>
      </c>
      <c r="P943" t="s">
        <v>14426</v>
      </c>
      <c r="Q943" t="s">
        <v>14409</v>
      </c>
      <c r="R943" t="s">
        <v>74</v>
      </c>
      <c r="S943" t="s">
        <v>74</v>
      </c>
      <c r="T943" t="s">
        <v>74</v>
      </c>
      <c r="U943" t="s">
        <v>74</v>
      </c>
      <c r="V943" t="s">
        <v>14427</v>
      </c>
      <c r="W943" t="s">
        <v>14411</v>
      </c>
      <c r="X943" t="s">
        <v>14412</v>
      </c>
      <c r="Y943" t="s">
        <v>14413</v>
      </c>
      <c r="Z943" t="s">
        <v>14428</v>
      </c>
      <c r="AA943" t="s">
        <v>14429</v>
      </c>
      <c r="AB943" t="s">
        <v>74</v>
      </c>
      <c r="AC943" t="s">
        <v>74</v>
      </c>
      <c r="AD943" t="s">
        <v>74</v>
      </c>
      <c r="AE943" t="s">
        <v>74</v>
      </c>
      <c r="AF943" t="s">
        <v>74</v>
      </c>
      <c r="AG943">
        <v>7</v>
      </c>
      <c r="AH943">
        <v>0</v>
      </c>
      <c r="AI943">
        <v>0</v>
      </c>
      <c r="AJ943">
        <v>0</v>
      </c>
      <c r="AK943">
        <v>0</v>
      </c>
      <c r="AL943" t="s">
        <v>14355</v>
      </c>
      <c r="AM943" t="s">
        <v>1593</v>
      </c>
      <c r="AN943" t="s">
        <v>14374</v>
      </c>
      <c r="AO943" t="s">
        <v>74</v>
      </c>
      <c r="AP943" t="s">
        <v>74</v>
      </c>
      <c r="AQ943" t="s">
        <v>14430</v>
      </c>
      <c r="AR943" t="s">
        <v>14431</v>
      </c>
      <c r="AS943" t="s">
        <v>74</v>
      </c>
      <c r="AT943" t="s">
        <v>74</v>
      </c>
      <c r="AU943">
        <v>2007</v>
      </c>
      <c r="AV943" t="s">
        <v>74</v>
      </c>
      <c r="AW943" t="s">
        <v>74</v>
      </c>
      <c r="AX943" t="s">
        <v>74</v>
      </c>
      <c r="AY943" t="s">
        <v>74</v>
      </c>
      <c r="AZ943" t="s">
        <v>74</v>
      </c>
      <c r="BA943" t="s">
        <v>74</v>
      </c>
      <c r="BB943">
        <v>361</v>
      </c>
      <c r="BC943">
        <v>363</v>
      </c>
      <c r="BD943" t="s">
        <v>74</v>
      </c>
      <c r="BE943" t="s">
        <v>74</v>
      </c>
      <c r="BF943" t="s">
        <v>74</v>
      </c>
      <c r="BG943" t="s">
        <v>74</v>
      </c>
      <c r="BH943" t="s">
        <v>74</v>
      </c>
      <c r="BI943">
        <v>3</v>
      </c>
      <c r="BJ943" t="s">
        <v>14432</v>
      </c>
      <c r="BK943" t="s">
        <v>5953</v>
      </c>
      <c r="BL943" t="s">
        <v>14433</v>
      </c>
      <c r="BM943" t="s">
        <v>14434</v>
      </c>
      <c r="BN943" t="s">
        <v>74</v>
      </c>
      <c r="BO943" t="s">
        <v>74</v>
      </c>
      <c r="BP943" t="s">
        <v>74</v>
      </c>
      <c r="BQ943" t="s">
        <v>74</v>
      </c>
      <c r="BR943" t="s">
        <v>101</v>
      </c>
      <c r="BS943" t="s">
        <v>14435</v>
      </c>
      <c r="BT943" t="str">
        <f>HYPERLINK("https%3A%2F%2Fwww.webofscience.com%2Fwos%2Fwoscc%2Ffull-record%2FWOS:000255503800092","View Full Record in Web of Science")</f>
        <v>View Full Record in Web of Science</v>
      </c>
    </row>
    <row r="944" spans="1:72" x14ac:dyDescent="0.15">
      <c r="A944" t="s">
        <v>5932</v>
      </c>
      <c r="B944" t="s">
        <v>14436</v>
      </c>
      <c r="C944" t="s">
        <v>74</v>
      </c>
      <c r="D944" t="s">
        <v>74</v>
      </c>
      <c r="E944" t="s">
        <v>14355</v>
      </c>
      <c r="F944" t="s">
        <v>14437</v>
      </c>
      <c r="G944" t="s">
        <v>74</v>
      </c>
      <c r="H944" t="s">
        <v>74</v>
      </c>
      <c r="I944" t="s">
        <v>14438</v>
      </c>
      <c r="J944" t="s">
        <v>14439</v>
      </c>
      <c r="K944" t="s">
        <v>74</v>
      </c>
      <c r="L944" t="s">
        <v>74</v>
      </c>
      <c r="M944" t="s">
        <v>78</v>
      </c>
      <c r="N944" t="s">
        <v>5938</v>
      </c>
      <c r="O944" t="s">
        <v>14440</v>
      </c>
      <c r="P944" t="s">
        <v>14441</v>
      </c>
      <c r="Q944" t="s">
        <v>14442</v>
      </c>
      <c r="R944" t="s">
        <v>74</v>
      </c>
      <c r="S944" t="s">
        <v>74</v>
      </c>
      <c r="T944" t="s">
        <v>74</v>
      </c>
      <c r="U944" t="s">
        <v>14443</v>
      </c>
      <c r="V944" t="s">
        <v>14444</v>
      </c>
      <c r="W944" t="s">
        <v>14445</v>
      </c>
      <c r="X944" t="s">
        <v>14446</v>
      </c>
      <c r="Y944" t="s">
        <v>14447</v>
      </c>
      <c r="Z944" t="s">
        <v>74</v>
      </c>
      <c r="AA944" t="s">
        <v>14448</v>
      </c>
      <c r="AB944" t="s">
        <v>14449</v>
      </c>
      <c r="AC944" t="s">
        <v>74</v>
      </c>
      <c r="AD944" t="s">
        <v>74</v>
      </c>
      <c r="AE944" t="s">
        <v>74</v>
      </c>
      <c r="AF944" t="s">
        <v>74</v>
      </c>
      <c r="AG944">
        <v>7</v>
      </c>
      <c r="AH944">
        <v>0</v>
      </c>
      <c r="AI944">
        <v>0</v>
      </c>
      <c r="AJ944">
        <v>0</v>
      </c>
      <c r="AK944">
        <v>0</v>
      </c>
      <c r="AL944" t="s">
        <v>14355</v>
      </c>
      <c r="AM944" t="s">
        <v>1593</v>
      </c>
      <c r="AN944" t="s">
        <v>14374</v>
      </c>
      <c r="AO944" t="s">
        <v>74</v>
      </c>
      <c r="AP944" t="s">
        <v>74</v>
      </c>
      <c r="AQ944" t="s">
        <v>14450</v>
      </c>
      <c r="AR944" t="s">
        <v>74</v>
      </c>
      <c r="AS944" t="s">
        <v>74</v>
      </c>
      <c r="AT944" t="s">
        <v>74</v>
      </c>
      <c r="AU944">
        <v>2007</v>
      </c>
      <c r="AV944" t="s">
        <v>74</v>
      </c>
      <c r="AW944" t="s">
        <v>74</v>
      </c>
      <c r="AX944" t="s">
        <v>74</v>
      </c>
      <c r="AY944" t="s">
        <v>74</v>
      </c>
      <c r="AZ944" t="s">
        <v>74</v>
      </c>
      <c r="BA944" t="s">
        <v>74</v>
      </c>
      <c r="BB944">
        <v>697</v>
      </c>
      <c r="BC944">
        <v>698</v>
      </c>
      <c r="BD944" t="s">
        <v>74</v>
      </c>
      <c r="BE944" t="s">
        <v>74</v>
      </c>
      <c r="BF944" t="s">
        <v>74</v>
      </c>
      <c r="BG944" t="s">
        <v>74</v>
      </c>
      <c r="BH944" t="s">
        <v>74</v>
      </c>
      <c r="BI944">
        <v>2</v>
      </c>
      <c r="BJ944" t="s">
        <v>14451</v>
      </c>
      <c r="BK944" t="s">
        <v>5953</v>
      </c>
      <c r="BL944" t="s">
        <v>2592</v>
      </c>
      <c r="BM944" t="s">
        <v>14452</v>
      </c>
      <c r="BN944" t="s">
        <v>74</v>
      </c>
      <c r="BO944" t="s">
        <v>74</v>
      </c>
      <c r="BP944" t="s">
        <v>74</v>
      </c>
      <c r="BQ944" t="s">
        <v>74</v>
      </c>
      <c r="BR944" t="s">
        <v>101</v>
      </c>
      <c r="BS944" t="s">
        <v>14453</v>
      </c>
      <c r="BT944" t="str">
        <f>HYPERLINK("https%3A%2F%2Fwww.webofscience.com%2Fwos%2Fwoscc%2Ffull-record%2FWOS:000257936900316","View Full Record in Web of Science")</f>
        <v>View Full Record in Web of Science</v>
      </c>
    </row>
    <row r="945" spans="1:72" x14ac:dyDescent="0.15">
      <c r="A945" t="s">
        <v>5932</v>
      </c>
      <c r="B945" t="s">
        <v>14454</v>
      </c>
      <c r="C945" t="s">
        <v>74</v>
      </c>
      <c r="D945" t="s">
        <v>74</v>
      </c>
      <c r="E945" t="s">
        <v>14355</v>
      </c>
      <c r="F945" t="s">
        <v>14455</v>
      </c>
      <c r="G945" t="s">
        <v>74</v>
      </c>
      <c r="H945" t="s">
        <v>74</v>
      </c>
      <c r="I945" t="s">
        <v>14456</v>
      </c>
      <c r="J945" t="s">
        <v>14457</v>
      </c>
      <c r="K945" t="s">
        <v>14458</v>
      </c>
      <c r="L945" t="s">
        <v>74</v>
      </c>
      <c r="M945" t="s">
        <v>78</v>
      </c>
      <c r="N945" t="s">
        <v>5938</v>
      </c>
      <c r="O945" t="s">
        <v>14459</v>
      </c>
      <c r="P945" t="s">
        <v>14460</v>
      </c>
      <c r="Q945" t="s">
        <v>14461</v>
      </c>
      <c r="R945" t="s">
        <v>74</v>
      </c>
      <c r="S945" t="s">
        <v>74</v>
      </c>
      <c r="T945" t="s">
        <v>14462</v>
      </c>
      <c r="U945" t="s">
        <v>14463</v>
      </c>
      <c r="V945" t="s">
        <v>14464</v>
      </c>
      <c r="W945" t="s">
        <v>14465</v>
      </c>
      <c r="X945" t="s">
        <v>14466</v>
      </c>
      <c r="Y945" t="s">
        <v>14467</v>
      </c>
      <c r="Z945" t="s">
        <v>74</v>
      </c>
      <c r="AA945" t="s">
        <v>14468</v>
      </c>
      <c r="AB945" t="s">
        <v>14469</v>
      </c>
      <c r="AC945" t="s">
        <v>14470</v>
      </c>
      <c r="AD945" t="s">
        <v>14471</v>
      </c>
      <c r="AE945" t="s">
        <v>14472</v>
      </c>
      <c r="AF945" t="s">
        <v>74</v>
      </c>
      <c r="AG945">
        <v>18</v>
      </c>
      <c r="AH945">
        <v>0</v>
      </c>
      <c r="AI945">
        <v>0</v>
      </c>
      <c r="AJ945">
        <v>3</v>
      </c>
      <c r="AK945">
        <v>13</v>
      </c>
      <c r="AL945" t="s">
        <v>14355</v>
      </c>
      <c r="AM945" t="s">
        <v>1593</v>
      </c>
      <c r="AN945" t="s">
        <v>14374</v>
      </c>
      <c r="AO945" t="s">
        <v>14473</v>
      </c>
      <c r="AP945" t="s">
        <v>74</v>
      </c>
      <c r="AQ945" t="s">
        <v>14474</v>
      </c>
      <c r="AR945" t="s">
        <v>14458</v>
      </c>
      <c r="AS945" t="s">
        <v>74</v>
      </c>
      <c r="AT945" t="s">
        <v>74</v>
      </c>
      <c r="AU945">
        <v>2007</v>
      </c>
      <c r="AV945" t="s">
        <v>74</v>
      </c>
      <c r="AW945" t="s">
        <v>74</v>
      </c>
      <c r="AX945" t="s">
        <v>74</v>
      </c>
      <c r="AY945" t="s">
        <v>74</v>
      </c>
      <c r="AZ945" t="s">
        <v>74</v>
      </c>
      <c r="BA945" t="s">
        <v>74</v>
      </c>
      <c r="BB945">
        <v>485</v>
      </c>
      <c r="BC945" t="s">
        <v>5541</v>
      </c>
      <c r="BD945" t="s">
        <v>74</v>
      </c>
      <c r="BE945" t="s">
        <v>74</v>
      </c>
      <c r="BF945" t="s">
        <v>74</v>
      </c>
      <c r="BG945" t="s">
        <v>74</v>
      </c>
      <c r="BH945" t="s">
        <v>74</v>
      </c>
      <c r="BI945">
        <v>3</v>
      </c>
      <c r="BJ945" t="s">
        <v>14475</v>
      </c>
      <c r="BK945" t="s">
        <v>5953</v>
      </c>
      <c r="BL945" t="s">
        <v>14476</v>
      </c>
      <c r="BM945" t="s">
        <v>14477</v>
      </c>
      <c r="BN945" t="s">
        <v>74</v>
      </c>
      <c r="BO945" t="s">
        <v>74</v>
      </c>
      <c r="BP945" t="s">
        <v>74</v>
      </c>
      <c r="BQ945" t="s">
        <v>74</v>
      </c>
      <c r="BR945" t="s">
        <v>101</v>
      </c>
      <c r="BS945" t="s">
        <v>14478</v>
      </c>
      <c r="BT945" t="str">
        <f>HYPERLINK("https%3A%2F%2Fwww.webofscience.com%2Fwos%2Fwoscc%2Ffull-record%2FWOS:000256526300068","View Full Record in Web of Science")</f>
        <v>View Full Record in Web of Science</v>
      </c>
    </row>
    <row r="946" spans="1:72" x14ac:dyDescent="0.15">
      <c r="A946" t="s">
        <v>5932</v>
      </c>
      <c r="B946" t="s">
        <v>14479</v>
      </c>
      <c r="C946" t="s">
        <v>74</v>
      </c>
      <c r="D946" t="s">
        <v>74</v>
      </c>
      <c r="E946" t="s">
        <v>14355</v>
      </c>
      <c r="F946" t="s">
        <v>14480</v>
      </c>
      <c r="G946" t="s">
        <v>74</v>
      </c>
      <c r="H946" t="s">
        <v>74</v>
      </c>
      <c r="I946" t="s">
        <v>14481</v>
      </c>
      <c r="J946" t="s">
        <v>14457</v>
      </c>
      <c r="K946" t="s">
        <v>14458</v>
      </c>
      <c r="L946" t="s">
        <v>74</v>
      </c>
      <c r="M946" t="s">
        <v>78</v>
      </c>
      <c r="N946" t="s">
        <v>5938</v>
      </c>
      <c r="O946" t="s">
        <v>14459</v>
      </c>
      <c r="P946" t="s">
        <v>14460</v>
      </c>
      <c r="Q946" t="s">
        <v>14461</v>
      </c>
      <c r="R946" t="s">
        <v>74</v>
      </c>
      <c r="S946" t="s">
        <v>74</v>
      </c>
      <c r="T946" t="s">
        <v>74</v>
      </c>
      <c r="U946" t="s">
        <v>74</v>
      </c>
      <c r="V946" t="s">
        <v>14482</v>
      </c>
      <c r="W946" t="s">
        <v>14483</v>
      </c>
      <c r="X946" t="s">
        <v>14484</v>
      </c>
      <c r="Y946" t="s">
        <v>14485</v>
      </c>
      <c r="Z946" t="s">
        <v>74</v>
      </c>
      <c r="AA946" t="s">
        <v>14486</v>
      </c>
      <c r="AB946" t="s">
        <v>14487</v>
      </c>
      <c r="AC946" t="s">
        <v>74</v>
      </c>
      <c r="AD946" t="s">
        <v>74</v>
      </c>
      <c r="AE946" t="s">
        <v>74</v>
      </c>
      <c r="AF946" t="s">
        <v>74</v>
      </c>
      <c r="AG946">
        <v>1</v>
      </c>
      <c r="AH946">
        <v>0</v>
      </c>
      <c r="AI946">
        <v>0</v>
      </c>
      <c r="AJ946">
        <v>0</v>
      </c>
      <c r="AK946">
        <v>1</v>
      </c>
      <c r="AL946" t="s">
        <v>14355</v>
      </c>
      <c r="AM946" t="s">
        <v>1593</v>
      </c>
      <c r="AN946" t="s">
        <v>14374</v>
      </c>
      <c r="AO946" t="s">
        <v>14473</v>
      </c>
      <c r="AP946" t="s">
        <v>74</v>
      </c>
      <c r="AQ946" t="s">
        <v>14474</v>
      </c>
      <c r="AR946" t="s">
        <v>14458</v>
      </c>
      <c r="AS946" t="s">
        <v>74</v>
      </c>
      <c r="AT946" t="s">
        <v>74</v>
      </c>
      <c r="AU946">
        <v>2007</v>
      </c>
      <c r="AV946" t="s">
        <v>74</v>
      </c>
      <c r="AW946" t="s">
        <v>74</v>
      </c>
      <c r="AX946" t="s">
        <v>74</v>
      </c>
      <c r="AY946" t="s">
        <v>74</v>
      </c>
      <c r="AZ946" t="s">
        <v>74</v>
      </c>
      <c r="BA946" t="s">
        <v>74</v>
      </c>
      <c r="BB946">
        <v>1766</v>
      </c>
      <c r="BC946">
        <v>1769</v>
      </c>
      <c r="BD946" t="s">
        <v>74</v>
      </c>
      <c r="BE946" t="s">
        <v>74</v>
      </c>
      <c r="BF946" t="s">
        <v>74</v>
      </c>
      <c r="BG946" t="s">
        <v>74</v>
      </c>
      <c r="BH946" t="s">
        <v>74</v>
      </c>
      <c r="BI946">
        <v>4</v>
      </c>
      <c r="BJ946" t="s">
        <v>14475</v>
      </c>
      <c r="BK946" t="s">
        <v>5953</v>
      </c>
      <c r="BL946" t="s">
        <v>14476</v>
      </c>
      <c r="BM946" t="s">
        <v>14477</v>
      </c>
      <c r="BN946" t="s">
        <v>74</v>
      </c>
      <c r="BO946" t="s">
        <v>74</v>
      </c>
      <c r="BP946" t="s">
        <v>74</v>
      </c>
      <c r="BQ946" t="s">
        <v>74</v>
      </c>
      <c r="BR946" t="s">
        <v>101</v>
      </c>
      <c r="BS946" t="s">
        <v>14488</v>
      </c>
      <c r="BT946" t="str">
        <f>HYPERLINK("https%3A%2F%2Fwww.webofscience.com%2Fwos%2Fwoscc%2Ffull-record%2FWOS:000256526301075","View Full Record in Web of Science")</f>
        <v>View Full Record in Web of Science</v>
      </c>
    </row>
    <row r="947" spans="1:72" x14ac:dyDescent="0.15">
      <c r="A947" t="s">
        <v>72</v>
      </c>
      <c r="B947" t="s">
        <v>14489</v>
      </c>
      <c r="C947" t="s">
        <v>74</v>
      </c>
      <c r="D947" t="s">
        <v>74</v>
      </c>
      <c r="E947" t="s">
        <v>74</v>
      </c>
      <c r="F947" t="s">
        <v>14490</v>
      </c>
      <c r="G947" t="s">
        <v>74</v>
      </c>
      <c r="H947" t="s">
        <v>74</v>
      </c>
      <c r="I947" t="s">
        <v>14491</v>
      </c>
      <c r="J947" t="s">
        <v>14492</v>
      </c>
      <c r="K947" t="s">
        <v>74</v>
      </c>
      <c r="L947" t="s">
        <v>74</v>
      </c>
      <c r="M947" t="s">
        <v>78</v>
      </c>
      <c r="N947" t="s">
        <v>79</v>
      </c>
      <c r="O947" t="s">
        <v>74</v>
      </c>
      <c r="P947" t="s">
        <v>74</v>
      </c>
      <c r="Q947" t="s">
        <v>74</v>
      </c>
      <c r="R947" t="s">
        <v>74</v>
      </c>
      <c r="S947" t="s">
        <v>74</v>
      </c>
      <c r="T947" t="s">
        <v>14493</v>
      </c>
      <c r="U947" t="s">
        <v>14494</v>
      </c>
      <c r="V947" t="s">
        <v>14495</v>
      </c>
      <c r="W947" t="s">
        <v>14496</v>
      </c>
      <c r="X947" t="s">
        <v>14497</v>
      </c>
      <c r="Y947" t="s">
        <v>14498</v>
      </c>
      <c r="Z947" t="s">
        <v>14499</v>
      </c>
      <c r="AA947" t="s">
        <v>14500</v>
      </c>
      <c r="AB947" t="s">
        <v>74</v>
      </c>
      <c r="AC947" t="s">
        <v>74</v>
      </c>
      <c r="AD947" t="s">
        <v>74</v>
      </c>
      <c r="AE947" t="s">
        <v>74</v>
      </c>
      <c r="AF947" t="s">
        <v>74</v>
      </c>
      <c r="AG947">
        <v>22</v>
      </c>
      <c r="AH947">
        <v>2</v>
      </c>
      <c r="AI947">
        <v>2</v>
      </c>
      <c r="AJ947">
        <v>0</v>
      </c>
      <c r="AK947">
        <v>7</v>
      </c>
      <c r="AL947" t="s">
        <v>1592</v>
      </c>
      <c r="AM947" t="s">
        <v>1593</v>
      </c>
      <c r="AN947" t="s">
        <v>2406</v>
      </c>
      <c r="AO947" t="s">
        <v>14501</v>
      </c>
      <c r="AP947" t="s">
        <v>14502</v>
      </c>
      <c r="AQ947" t="s">
        <v>74</v>
      </c>
      <c r="AR947" t="s">
        <v>14503</v>
      </c>
      <c r="AS947" t="s">
        <v>14504</v>
      </c>
      <c r="AT947" t="s">
        <v>74</v>
      </c>
      <c r="AU947">
        <v>2007</v>
      </c>
      <c r="AV947">
        <v>26</v>
      </c>
      <c r="AW947">
        <v>6</v>
      </c>
      <c r="AX947" t="s">
        <v>74</v>
      </c>
      <c r="AY947" t="s">
        <v>74</v>
      </c>
      <c r="AZ947" t="s">
        <v>74</v>
      </c>
      <c r="BA947" t="s">
        <v>74</v>
      </c>
      <c r="BB947">
        <v>91</v>
      </c>
      <c r="BC947">
        <v>100</v>
      </c>
      <c r="BD947" t="s">
        <v>74</v>
      </c>
      <c r="BE947" t="s">
        <v>74</v>
      </c>
      <c r="BF947" t="s">
        <v>74</v>
      </c>
      <c r="BG947" t="s">
        <v>74</v>
      </c>
      <c r="BH947" t="s">
        <v>74</v>
      </c>
      <c r="BI947">
        <v>10</v>
      </c>
      <c r="BJ947" t="s">
        <v>221</v>
      </c>
      <c r="BK947" t="s">
        <v>98</v>
      </c>
      <c r="BL947" t="s">
        <v>221</v>
      </c>
      <c r="BM947" t="s">
        <v>14505</v>
      </c>
      <c r="BN947" t="s">
        <v>74</v>
      </c>
      <c r="BO947" t="s">
        <v>74</v>
      </c>
      <c r="BP947" t="s">
        <v>74</v>
      </c>
      <c r="BQ947" t="s">
        <v>74</v>
      </c>
      <c r="BR947" t="s">
        <v>101</v>
      </c>
      <c r="BS947" t="s">
        <v>14506</v>
      </c>
      <c r="BT947" t="str">
        <f>HYPERLINK("https%3A%2F%2Fwww.webofscience.com%2Fwos%2Fwoscc%2Ffull-record%2FWOS:000252472300009","View Full Record in Web of Science")</f>
        <v>View Full Record in Web of Science</v>
      </c>
    </row>
    <row r="948" spans="1:72" x14ac:dyDescent="0.15">
      <c r="A948" t="s">
        <v>72</v>
      </c>
      <c r="B948" t="s">
        <v>14507</v>
      </c>
      <c r="C948" t="s">
        <v>74</v>
      </c>
      <c r="D948" t="s">
        <v>74</v>
      </c>
      <c r="E948" t="s">
        <v>74</v>
      </c>
      <c r="F948" t="s">
        <v>14508</v>
      </c>
      <c r="G948" t="s">
        <v>74</v>
      </c>
      <c r="H948" t="s">
        <v>74</v>
      </c>
      <c r="I948" t="s">
        <v>14509</v>
      </c>
      <c r="J948" t="s">
        <v>14492</v>
      </c>
      <c r="K948" t="s">
        <v>74</v>
      </c>
      <c r="L948" t="s">
        <v>74</v>
      </c>
      <c r="M948" t="s">
        <v>78</v>
      </c>
      <c r="N948" t="s">
        <v>79</v>
      </c>
      <c r="O948" t="s">
        <v>74</v>
      </c>
      <c r="P948" t="s">
        <v>74</v>
      </c>
      <c r="Q948" t="s">
        <v>74</v>
      </c>
      <c r="R948" t="s">
        <v>74</v>
      </c>
      <c r="S948" t="s">
        <v>74</v>
      </c>
      <c r="T948" t="s">
        <v>14510</v>
      </c>
      <c r="U948" t="s">
        <v>14511</v>
      </c>
      <c r="V948" t="s">
        <v>14512</v>
      </c>
      <c r="W948" t="s">
        <v>14513</v>
      </c>
      <c r="X948" t="s">
        <v>14514</v>
      </c>
      <c r="Y948" t="s">
        <v>14515</v>
      </c>
      <c r="Z948" t="s">
        <v>14516</v>
      </c>
      <c r="AA948" t="s">
        <v>14517</v>
      </c>
      <c r="AB948" t="s">
        <v>74</v>
      </c>
      <c r="AC948" t="s">
        <v>74</v>
      </c>
      <c r="AD948" t="s">
        <v>74</v>
      </c>
      <c r="AE948" t="s">
        <v>74</v>
      </c>
      <c r="AF948" t="s">
        <v>74</v>
      </c>
      <c r="AG948">
        <v>27</v>
      </c>
      <c r="AH948">
        <v>3</v>
      </c>
      <c r="AI948">
        <v>4</v>
      </c>
      <c r="AJ948">
        <v>0</v>
      </c>
      <c r="AK948">
        <v>7</v>
      </c>
      <c r="AL948" t="s">
        <v>1592</v>
      </c>
      <c r="AM948" t="s">
        <v>1593</v>
      </c>
      <c r="AN948" t="s">
        <v>1594</v>
      </c>
      <c r="AO948" t="s">
        <v>14501</v>
      </c>
      <c r="AP948" t="s">
        <v>14502</v>
      </c>
      <c r="AQ948" t="s">
        <v>74</v>
      </c>
      <c r="AR948" t="s">
        <v>14503</v>
      </c>
      <c r="AS948" t="s">
        <v>14504</v>
      </c>
      <c r="AT948" t="s">
        <v>74</v>
      </c>
      <c r="AU948">
        <v>2007</v>
      </c>
      <c r="AV948">
        <v>26</v>
      </c>
      <c r="AW948">
        <v>4</v>
      </c>
      <c r="AX948" t="s">
        <v>74</v>
      </c>
      <c r="AY948" t="s">
        <v>74</v>
      </c>
      <c r="AZ948" t="s">
        <v>74</v>
      </c>
      <c r="BA948" t="s">
        <v>74</v>
      </c>
      <c r="BB948">
        <v>93</v>
      </c>
      <c r="BC948">
        <v>103</v>
      </c>
      <c r="BD948" t="s">
        <v>74</v>
      </c>
      <c r="BE948" t="s">
        <v>74</v>
      </c>
      <c r="BF948" t="s">
        <v>74</v>
      </c>
      <c r="BG948" t="s">
        <v>74</v>
      </c>
      <c r="BH948" t="s">
        <v>74</v>
      </c>
      <c r="BI948">
        <v>11</v>
      </c>
      <c r="BJ948" t="s">
        <v>221</v>
      </c>
      <c r="BK948" t="s">
        <v>98</v>
      </c>
      <c r="BL948" t="s">
        <v>221</v>
      </c>
      <c r="BM948" t="s">
        <v>14518</v>
      </c>
      <c r="BN948" t="s">
        <v>74</v>
      </c>
      <c r="BO948" t="s">
        <v>74</v>
      </c>
      <c r="BP948" t="s">
        <v>74</v>
      </c>
      <c r="BQ948" t="s">
        <v>74</v>
      </c>
      <c r="BR948" t="s">
        <v>101</v>
      </c>
      <c r="BS948" t="s">
        <v>14519</v>
      </c>
      <c r="BT948" t="str">
        <f>HYPERLINK("https%3A%2F%2Fwww.webofscience.com%2Fwos%2Fwoscc%2Ffull-record%2FWOS:000249470200010","View Full Record in Web of Science")</f>
        <v>View Full Record in Web of Science</v>
      </c>
    </row>
    <row r="949" spans="1:72" x14ac:dyDescent="0.15">
      <c r="A949" t="s">
        <v>72</v>
      </c>
      <c r="B949" t="s">
        <v>14520</v>
      </c>
      <c r="C949" t="s">
        <v>74</v>
      </c>
      <c r="D949" t="s">
        <v>74</v>
      </c>
      <c r="E949" t="s">
        <v>74</v>
      </c>
      <c r="F949" t="s">
        <v>14521</v>
      </c>
      <c r="G949" t="s">
        <v>74</v>
      </c>
      <c r="H949" t="s">
        <v>74</v>
      </c>
      <c r="I949" t="s">
        <v>14522</v>
      </c>
      <c r="J949" t="s">
        <v>14492</v>
      </c>
      <c r="K949" t="s">
        <v>74</v>
      </c>
      <c r="L949" t="s">
        <v>74</v>
      </c>
      <c r="M949" t="s">
        <v>78</v>
      </c>
      <c r="N949" t="s">
        <v>79</v>
      </c>
      <c r="O949" t="s">
        <v>74</v>
      </c>
      <c r="P949" t="s">
        <v>74</v>
      </c>
      <c r="Q949" t="s">
        <v>74</v>
      </c>
      <c r="R949" t="s">
        <v>74</v>
      </c>
      <c r="S949" t="s">
        <v>74</v>
      </c>
      <c r="T949" t="s">
        <v>14523</v>
      </c>
      <c r="U949" t="s">
        <v>14524</v>
      </c>
      <c r="V949" t="s">
        <v>14525</v>
      </c>
      <c r="W949" t="s">
        <v>14526</v>
      </c>
      <c r="X949" t="s">
        <v>14527</v>
      </c>
      <c r="Y949" t="s">
        <v>14528</v>
      </c>
      <c r="Z949" t="s">
        <v>14529</v>
      </c>
      <c r="AA949" t="s">
        <v>14530</v>
      </c>
      <c r="AB949" t="s">
        <v>74</v>
      </c>
      <c r="AC949" t="s">
        <v>74</v>
      </c>
      <c r="AD949" t="s">
        <v>74</v>
      </c>
      <c r="AE949" t="s">
        <v>74</v>
      </c>
      <c r="AF949" t="s">
        <v>74</v>
      </c>
      <c r="AG949">
        <v>35</v>
      </c>
      <c r="AH949">
        <v>2</v>
      </c>
      <c r="AI949">
        <v>2</v>
      </c>
      <c r="AJ949">
        <v>0</v>
      </c>
      <c r="AK949">
        <v>8</v>
      </c>
      <c r="AL949" t="s">
        <v>1592</v>
      </c>
      <c r="AM949" t="s">
        <v>1593</v>
      </c>
      <c r="AN949" t="s">
        <v>2406</v>
      </c>
      <c r="AO949" t="s">
        <v>14501</v>
      </c>
      <c r="AP949" t="s">
        <v>14502</v>
      </c>
      <c r="AQ949" t="s">
        <v>74</v>
      </c>
      <c r="AR949" t="s">
        <v>14503</v>
      </c>
      <c r="AS949" t="s">
        <v>14504</v>
      </c>
      <c r="AT949" t="s">
        <v>74</v>
      </c>
      <c r="AU949">
        <v>2007</v>
      </c>
      <c r="AV949">
        <v>26</v>
      </c>
      <c r="AW949">
        <v>4</v>
      </c>
      <c r="AX949" t="s">
        <v>74</v>
      </c>
      <c r="AY949" t="s">
        <v>74</v>
      </c>
      <c r="AZ949" t="s">
        <v>74</v>
      </c>
      <c r="BA949" t="s">
        <v>74</v>
      </c>
      <c r="BB949">
        <v>123</v>
      </c>
      <c r="BC949">
        <v>131</v>
      </c>
      <c r="BD949" t="s">
        <v>74</v>
      </c>
      <c r="BE949" t="s">
        <v>74</v>
      </c>
      <c r="BF949" t="s">
        <v>74</v>
      </c>
      <c r="BG949" t="s">
        <v>74</v>
      </c>
      <c r="BH949" t="s">
        <v>74</v>
      </c>
      <c r="BI949">
        <v>9</v>
      </c>
      <c r="BJ949" t="s">
        <v>221</v>
      </c>
      <c r="BK949" t="s">
        <v>98</v>
      </c>
      <c r="BL949" t="s">
        <v>221</v>
      </c>
      <c r="BM949" t="s">
        <v>14518</v>
      </c>
      <c r="BN949" t="s">
        <v>74</v>
      </c>
      <c r="BO949" t="s">
        <v>74</v>
      </c>
      <c r="BP949" t="s">
        <v>74</v>
      </c>
      <c r="BQ949" t="s">
        <v>74</v>
      </c>
      <c r="BR949" t="s">
        <v>101</v>
      </c>
      <c r="BS949" t="s">
        <v>14531</v>
      </c>
      <c r="BT949" t="str">
        <f>HYPERLINK("https%3A%2F%2Fwww.webofscience.com%2Fwos%2Fwoscc%2Ffull-record%2FWOS:000249470200013","View Full Record in Web of Science")</f>
        <v>View Full Record in Web of Science</v>
      </c>
    </row>
    <row r="950" spans="1:72" x14ac:dyDescent="0.15">
      <c r="A950" t="s">
        <v>72</v>
      </c>
      <c r="B950" t="s">
        <v>14532</v>
      </c>
      <c r="C950" t="s">
        <v>74</v>
      </c>
      <c r="D950" t="s">
        <v>74</v>
      </c>
      <c r="E950" t="s">
        <v>74</v>
      </c>
      <c r="F950" t="s">
        <v>14533</v>
      </c>
      <c r="G950" t="s">
        <v>74</v>
      </c>
      <c r="H950" t="s">
        <v>74</v>
      </c>
      <c r="I950" t="s">
        <v>14534</v>
      </c>
      <c r="J950" t="s">
        <v>14535</v>
      </c>
      <c r="K950" t="s">
        <v>74</v>
      </c>
      <c r="L950" t="s">
        <v>74</v>
      </c>
      <c r="M950" t="s">
        <v>78</v>
      </c>
      <c r="N950" t="s">
        <v>79</v>
      </c>
      <c r="O950" t="s">
        <v>74</v>
      </c>
      <c r="P950" t="s">
        <v>74</v>
      </c>
      <c r="Q950" t="s">
        <v>74</v>
      </c>
      <c r="R950" t="s">
        <v>74</v>
      </c>
      <c r="S950" t="s">
        <v>74</v>
      </c>
      <c r="T950" t="s">
        <v>14536</v>
      </c>
      <c r="U950" t="s">
        <v>14537</v>
      </c>
      <c r="V950" t="s">
        <v>14538</v>
      </c>
      <c r="W950" t="s">
        <v>14539</v>
      </c>
      <c r="X950" t="s">
        <v>14540</v>
      </c>
      <c r="Y950" t="s">
        <v>14541</v>
      </c>
      <c r="Z950" t="s">
        <v>14542</v>
      </c>
      <c r="AA950" t="s">
        <v>14543</v>
      </c>
      <c r="AB950" t="s">
        <v>14544</v>
      </c>
      <c r="AC950" t="s">
        <v>74</v>
      </c>
      <c r="AD950" t="s">
        <v>74</v>
      </c>
      <c r="AE950" t="s">
        <v>74</v>
      </c>
      <c r="AF950" t="s">
        <v>74</v>
      </c>
      <c r="AG950">
        <v>25</v>
      </c>
      <c r="AH950">
        <v>13</v>
      </c>
      <c r="AI950">
        <v>14</v>
      </c>
      <c r="AJ950">
        <v>0</v>
      </c>
      <c r="AK950">
        <v>19</v>
      </c>
      <c r="AL950" t="s">
        <v>14545</v>
      </c>
      <c r="AM950" t="s">
        <v>14546</v>
      </c>
      <c r="AN950" t="s">
        <v>14547</v>
      </c>
      <c r="AO950" t="s">
        <v>14548</v>
      </c>
      <c r="AP950" t="s">
        <v>74</v>
      </c>
      <c r="AQ950" t="s">
        <v>74</v>
      </c>
      <c r="AR950" t="s">
        <v>14549</v>
      </c>
      <c r="AS950" t="s">
        <v>14550</v>
      </c>
      <c r="AT950" t="s">
        <v>74</v>
      </c>
      <c r="AU950">
        <v>2007</v>
      </c>
      <c r="AV950">
        <v>46</v>
      </c>
      <c r="AW950">
        <v>2</v>
      </c>
      <c r="AX950" t="s">
        <v>74</v>
      </c>
      <c r="AY950" t="s">
        <v>74</v>
      </c>
      <c r="AZ950" t="s">
        <v>74</v>
      </c>
      <c r="BA950" t="s">
        <v>74</v>
      </c>
      <c r="BB950">
        <v>99</v>
      </c>
      <c r="BC950">
        <v>106</v>
      </c>
      <c r="BD950" t="s">
        <v>74</v>
      </c>
      <c r="BE950" t="s">
        <v>74</v>
      </c>
      <c r="BF950" t="s">
        <v>74</v>
      </c>
      <c r="BG950" t="s">
        <v>74</v>
      </c>
      <c r="BH950" t="s">
        <v>74</v>
      </c>
      <c r="BI950">
        <v>8</v>
      </c>
      <c r="BJ950" t="s">
        <v>1722</v>
      </c>
      <c r="BK950" t="s">
        <v>98</v>
      </c>
      <c r="BL950" t="s">
        <v>1722</v>
      </c>
      <c r="BM950" t="s">
        <v>14551</v>
      </c>
      <c r="BN950" t="s">
        <v>74</v>
      </c>
      <c r="BO950" t="s">
        <v>74</v>
      </c>
      <c r="BP950" t="s">
        <v>74</v>
      </c>
      <c r="BQ950" t="s">
        <v>74</v>
      </c>
      <c r="BR950" t="s">
        <v>101</v>
      </c>
      <c r="BS950" t="s">
        <v>14552</v>
      </c>
      <c r="BT950" t="str">
        <f>HYPERLINK("https%3A%2F%2Fwww.webofscience.com%2Fwos%2Fwoscc%2Ffull-record%2FWOS:000249249300003","View Full Record in Web of Science")</f>
        <v>View Full Record in Web of Science</v>
      </c>
    </row>
    <row r="951" spans="1:72" x14ac:dyDescent="0.15">
      <c r="A951" t="s">
        <v>72</v>
      </c>
      <c r="B951" t="s">
        <v>10242</v>
      </c>
      <c r="C951" t="s">
        <v>74</v>
      </c>
      <c r="D951" t="s">
        <v>74</v>
      </c>
      <c r="E951" t="s">
        <v>74</v>
      </c>
      <c r="F951" t="s">
        <v>14553</v>
      </c>
      <c r="G951" t="s">
        <v>74</v>
      </c>
      <c r="H951" t="s">
        <v>74</v>
      </c>
      <c r="I951" t="s">
        <v>14554</v>
      </c>
      <c r="J951" t="s">
        <v>14555</v>
      </c>
      <c r="K951" t="s">
        <v>74</v>
      </c>
      <c r="L951" t="s">
        <v>74</v>
      </c>
      <c r="M951" t="s">
        <v>78</v>
      </c>
      <c r="N951" t="s">
        <v>79</v>
      </c>
      <c r="O951" t="s">
        <v>74</v>
      </c>
      <c r="P951" t="s">
        <v>74</v>
      </c>
      <c r="Q951" t="s">
        <v>74</v>
      </c>
      <c r="R951" t="s">
        <v>74</v>
      </c>
      <c r="S951" t="s">
        <v>74</v>
      </c>
      <c r="T951" t="s">
        <v>14556</v>
      </c>
      <c r="U951" t="s">
        <v>14557</v>
      </c>
      <c r="V951" t="s">
        <v>14558</v>
      </c>
      <c r="W951" t="s">
        <v>14559</v>
      </c>
      <c r="X951" t="s">
        <v>10251</v>
      </c>
      <c r="Y951" t="s">
        <v>10252</v>
      </c>
      <c r="Z951" t="s">
        <v>2727</v>
      </c>
      <c r="AA951" t="s">
        <v>14560</v>
      </c>
      <c r="AB951" t="s">
        <v>74</v>
      </c>
      <c r="AC951" t="s">
        <v>74</v>
      </c>
      <c r="AD951" t="s">
        <v>74</v>
      </c>
      <c r="AE951" t="s">
        <v>74</v>
      </c>
      <c r="AF951" t="s">
        <v>74</v>
      </c>
      <c r="AG951">
        <v>28</v>
      </c>
      <c r="AH951">
        <v>14</v>
      </c>
      <c r="AI951">
        <v>17</v>
      </c>
      <c r="AJ951">
        <v>1</v>
      </c>
      <c r="AK951">
        <v>8</v>
      </c>
      <c r="AL951" t="s">
        <v>12034</v>
      </c>
      <c r="AM951" t="s">
        <v>2710</v>
      </c>
      <c r="AN951" t="s">
        <v>2711</v>
      </c>
      <c r="AO951" t="s">
        <v>14561</v>
      </c>
      <c r="AP951" t="s">
        <v>74</v>
      </c>
      <c r="AQ951" t="s">
        <v>74</v>
      </c>
      <c r="AR951" t="s">
        <v>14562</v>
      </c>
      <c r="AS951" t="s">
        <v>14563</v>
      </c>
      <c r="AT951" t="s">
        <v>14564</v>
      </c>
      <c r="AU951">
        <v>2007</v>
      </c>
      <c r="AV951">
        <v>24</v>
      </c>
      <c r="AW951">
        <v>1</v>
      </c>
      <c r="AX951" t="s">
        <v>74</v>
      </c>
      <c r="AY951" t="s">
        <v>74</v>
      </c>
      <c r="AZ951" t="s">
        <v>74</v>
      </c>
      <c r="BA951" t="s">
        <v>74</v>
      </c>
      <c r="BB951">
        <v>15</v>
      </c>
      <c r="BC951">
        <v>23</v>
      </c>
      <c r="BD951" t="s">
        <v>74</v>
      </c>
      <c r="BE951" t="s">
        <v>14565</v>
      </c>
      <c r="BF951" t="str">
        <f>HYPERLINK("http://dx.doi.org/10.1007/s00376-007-0015-z","http://dx.doi.org/10.1007/s00376-007-0015-z")</f>
        <v>http://dx.doi.org/10.1007/s00376-007-0015-z</v>
      </c>
      <c r="BG951" t="s">
        <v>74</v>
      </c>
      <c r="BH951" t="s">
        <v>74</v>
      </c>
      <c r="BI951">
        <v>9</v>
      </c>
      <c r="BJ951" t="s">
        <v>435</v>
      </c>
      <c r="BK951" t="s">
        <v>98</v>
      </c>
      <c r="BL951" t="s">
        <v>435</v>
      </c>
      <c r="BM951" t="s">
        <v>14566</v>
      </c>
      <c r="BN951" t="s">
        <v>74</v>
      </c>
      <c r="BO951" t="s">
        <v>74</v>
      </c>
      <c r="BP951" t="s">
        <v>74</v>
      </c>
      <c r="BQ951" t="s">
        <v>74</v>
      </c>
      <c r="BR951" t="s">
        <v>101</v>
      </c>
      <c r="BS951" t="s">
        <v>14567</v>
      </c>
      <c r="BT951" t="str">
        <f>HYPERLINK("https%3A%2F%2Fwww.webofscience.com%2Fwos%2Fwoscc%2Ffull-record%2FWOS:000243706800002","View Full Record in Web of Science")</f>
        <v>View Full Record in Web of Science</v>
      </c>
    </row>
    <row r="952" spans="1:72" x14ac:dyDescent="0.15">
      <c r="A952" t="s">
        <v>72</v>
      </c>
      <c r="B952" t="s">
        <v>14568</v>
      </c>
      <c r="C952" t="s">
        <v>74</v>
      </c>
      <c r="D952" t="s">
        <v>74</v>
      </c>
      <c r="E952" t="s">
        <v>74</v>
      </c>
      <c r="F952" t="s">
        <v>14569</v>
      </c>
      <c r="G952" t="s">
        <v>74</v>
      </c>
      <c r="H952" t="s">
        <v>74</v>
      </c>
      <c r="I952" t="s">
        <v>14570</v>
      </c>
      <c r="J952" t="s">
        <v>14555</v>
      </c>
      <c r="K952" t="s">
        <v>74</v>
      </c>
      <c r="L952" t="s">
        <v>74</v>
      </c>
      <c r="M952" t="s">
        <v>78</v>
      </c>
      <c r="N952" t="s">
        <v>79</v>
      </c>
      <c r="O952" t="s">
        <v>74</v>
      </c>
      <c r="P952" t="s">
        <v>74</v>
      </c>
      <c r="Q952" t="s">
        <v>74</v>
      </c>
      <c r="R952" t="s">
        <v>74</v>
      </c>
      <c r="S952" t="s">
        <v>74</v>
      </c>
      <c r="T952" t="s">
        <v>14571</v>
      </c>
      <c r="U952" t="s">
        <v>14572</v>
      </c>
      <c r="V952" t="s">
        <v>14573</v>
      </c>
      <c r="W952" t="s">
        <v>14574</v>
      </c>
      <c r="X952" t="s">
        <v>14575</v>
      </c>
      <c r="Y952" t="s">
        <v>14576</v>
      </c>
      <c r="Z952" t="s">
        <v>14577</v>
      </c>
      <c r="AA952" t="s">
        <v>74</v>
      </c>
      <c r="AB952" t="s">
        <v>14578</v>
      </c>
      <c r="AC952" t="s">
        <v>4327</v>
      </c>
      <c r="AD952" t="s">
        <v>426</v>
      </c>
      <c r="AE952" t="s">
        <v>74</v>
      </c>
      <c r="AF952" t="s">
        <v>74</v>
      </c>
      <c r="AG952">
        <v>47</v>
      </c>
      <c r="AH952">
        <v>13</v>
      </c>
      <c r="AI952">
        <v>18</v>
      </c>
      <c r="AJ952">
        <v>1</v>
      </c>
      <c r="AK952">
        <v>22</v>
      </c>
      <c r="AL952" t="s">
        <v>2709</v>
      </c>
      <c r="AM952" t="s">
        <v>2710</v>
      </c>
      <c r="AN952" t="s">
        <v>2711</v>
      </c>
      <c r="AO952" t="s">
        <v>14561</v>
      </c>
      <c r="AP952" t="s">
        <v>14579</v>
      </c>
      <c r="AQ952" t="s">
        <v>74</v>
      </c>
      <c r="AR952" t="s">
        <v>14562</v>
      </c>
      <c r="AS952" t="s">
        <v>14563</v>
      </c>
      <c r="AT952" t="s">
        <v>14564</v>
      </c>
      <c r="AU952">
        <v>2007</v>
      </c>
      <c r="AV952">
        <v>24</v>
      </c>
      <c r="AW952">
        <v>1</v>
      </c>
      <c r="AX952" t="s">
        <v>74</v>
      </c>
      <c r="AY952" t="s">
        <v>74</v>
      </c>
      <c r="AZ952" t="s">
        <v>74</v>
      </c>
      <c r="BA952" t="s">
        <v>74</v>
      </c>
      <c r="BB952">
        <v>152</v>
      </c>
      <c r="BC952">
        <v>162</v>
      </c>
      <c r="BD952" t="s">
        <v>74</v>
      </c>
      <c r="BE952" t="s">
        <v>14580</v>
      </c>
      <c r="BF952" t="str">
        <f>HYPERLINK("http://dx.doi.org/10.1007/s00376-007-0152-4","http://dx.doi.org/10.1007/s00376-007-0152-4")</f>
        <v>http://dx.doi.org/10.1007/s00376-007-0152-4</v>
      </c>
      <c r="BG952" t="s">
        <v>74</v>
      </c>
      <c r="BH952" t="s">
        <v>74</v>
      </c>
      <c r="BI952">
        <v>11</v>
      </c>
      <c r="BJ952" t="s">
        <v>435</v>
      </c>
      <c r="BK952" t="s">
        <v>98</v>
      </c>
      <c r="BL952" t="s">
        <v>435</v>
      </c>
      <c r="BM952" t="s">
        <v>14566</v>
      </c>
      <c r="BN952" t="s">
        <v>74</v>
      </c>
      <c r="BO952" t="s">
        <v>74</v>
      </c>
      <c r="BP952" t="s">
        <v>74</v>
      </c>
      <c r="BQ952" t="s">
        <v>74</v>
      </c>
      <c r="BR952" t="s">
        <v>101</v>
      </c>
      <c r="BS952" t="s">
        <v>14581</v>
      </c>
      <c r="BT952" t="str">
        <f>HYPERLINK("https%3A%2F%2Fwww.webofscience.com%2Fwos%2Fwoscc%2Ffull-record%2FWOS:000243706800016","View Full Record in Web of Science")</f>
        <v>View Full Record in Web of Science</v>
      </c>
    </row>
    <row r="953" spans="1:72" x14ac:dyDescent="0.15">
      <c r="A953" t="s">
        <v>1778</v>
      </c>
      <c r="B953" t="s">
        <v>14582</v>
      </c>
      <c r="C953" t="s">
        <v>74</v>
      </c>
      <c r="D953" t="s">
        <v>14583</v>
      </c>
      <c r="E953" t="s">
        <v>74</v>
      </c>
      <c r="F953" t="s">
        <v>14584</v>
      </c>
      <c r="G953" t="s">
        <v>74</v>
      </c>
      <c r="H953" t="s">
        <v>74</v>
      </c>
      <c r="I953" t="s">
        <v>14585</v>
      </c>
      <c r="J953" t="s">
        <v>14586</v>
      </c>
      <c r="K953" t="s">
        <v>14587</v>
      </c>
      <c r="L953" t="s">
        <v>74</v>
      </c>
      <c r="M953" t="s">
        <v>78</v>
      </c>
      <c r="N953" t="s">
        <v>14588</v>
      </c>
      <c r="O953" t="s">
        <v>74</v>
      </c>
      <c r="P953" t="s">
        <v>74</v>
      </c>
      <c r="Q953" t="s">
        <v>74</v>
      </c>
      <c r="R953" t="s">
        <v>74</v>
      </c>
      <c r="S953" t="s">
        <v>74</v>
      </c>
      <c r="T953" t="s">
        <v>74</v>
      </c>
      <c r="U953" t="s">
        <v>14589</v>
      </c>
      <c r="V953" t="s">
        <v>74</v>
      </c>
      <c r="W953" t="s">
        <v>14590</v>
      </c>
      <c r="X953" t="s">
        <v>2494</v>
      </c>
      <c r="Y953" t="s">
        <v>14591</v>
      </c>
      <c r="Z953" t="s">
        <v>74</v>
      </c>
      <c r="AA953" t="s">
        <v>14592</v>
      </c>
      <c r="AB953" t="s">
        <v>14593</v>
      </c>
      <c r="AC953" t="s">
        <v>74</v>
      </c>
      <c r="AD953" t="s">
        <v>74</v>
      </c>
      <c r="AE953" t="s">
        <v>74</v>
      </c>
      <c r="AF953" t="s">
        <v>74</v>
      </c>
      <c r="AG953">
        <v>626</v>
      </c>
      <c r="AH953">
        <v>432</v>
      </c>
      <c r="AI953">
        <v>470</v>
      </c>
      <c r="AJ953">
        <v>1</v>
      </c>
      <c r="AK953">
        <v>194</v>
      </c>
      <c r="AL953" t="s">
        <v>14594</v>
      </c>
      <c r="AM953" t="s">
        <v>363</v>
      </c>
      <c r="AN953" t="s">
        <v>14595</v>
      </c>
      <c r="AO953" t="s">
        <v>14596</v>
      </c>
      <c r="AP953" t="s">
        <v>14597</v>
      </c>
      <c r="AQ953" t="s">
        <v>14598</v>
      </c>
      <c r="AR953" t="s">
        <v>14599</v>
      </c>
      <c r="AS953" t="s">
        <v>14600</v>
      </c>
      <c r="AT953" t="s">
        <v>74</v>
      </c>
      <c r="AU953">
        <v>2007</v>
      </c>
      <c r="AV953">
        <v>33</v>
      </c>
      <c r="AW953" t="s">
        <v>74</v>
      </c>
      <c r="AX953" t="s">
        <v>74</v>
      </c>
      <c r="AY953" t="s">
        <v>74</v>
      </c>
      <c r="AZ953" t="s">
        <v>74</v>
      </c>
      <c r="BA953" t="s">
        <v>74</v>
      </c>
      <c r="BB953">
        <v>50</v>
      </c>
      <c r="BC953">
        <v>152</v>
      </c>
      <c r="BD953" t="s">
        <v>74</v>
      </c>
      <c r="BE953" t="s">
        <v>74</v>
      </c>
      <c r="BF953" t="s">
        <v>74</v>
      </c>
      <c r="BG953" t="s">
        <v>74</v>
      </c>
      <c r="BH953" t="s">
        <v>74</v>
      </c>
      <c r="BI953">
        <v>103</v>
      </c>
      <c r="BJ953" t="s">
        <v>13756</v>
      </c>
      <c r="BK953" t="s">
        <v>14601</v>
      </c>
      <c r="BL953" t="s">
        <v>13756</v>
      </c>
      <c r="BM953" t="s">
        <v>14602</v>
      </c>
      <c r="BN953">
        <v>19212462</v>
      </c>
      <c r="BO953" t="s">
        <v>74</v>
      </c>
      <c r="BP953" t="s">
        <v>74</v>
      </c>
      <c r="BQ953" t="s">
        <v>74</v>
      </c>
      <c r="BR953" t="s">
        <v>101</v>
      </c>
      <c r="BS953" t="s">
        <v>14603</v>
      </c>
      <c r="BT953" t="str">
        <f>HYPERLINK("https%3A%2F%2Fwww.webofscience.com%2Fwos%2Fwoscc%2Ffull-record%2FWOS:000246176600002","View Full Record in Web of Science")</f>
        <v>View Full Record in Web of Science</v>
      </c>
    </row>
    <row r="954" spans="1:72" x14ac:dyDescent="0.15">
      <c r="A954" t="s">
        <v>1778</v>
      </c>
      <c r="B954" t="s">
        <v>14604</v>
      </c>
      <c r="C954" t="s">
        <v>74</v>
      </c>
      <c r="D954" t="s">
        <v>14605</v>
      </c>
      <c r="E954" t="s">
        <v>74</v>
      </c>
      <c r="F954" t="s">
        <v>14606</v>
      </c>
      <c r="G954" t="s">
        <v>74</v>
      </c>
      <c r="H954" t="s">
        <v>74</v>
      </c>
      <c r="I954" t="s">
        <v>14607</v>
      </c>
      <c r="J954" t="s">
        <v>14608</v>
      </c>
      <c r="K954" t="s">
        <v>14609</v>
      </c>
      <c r="L954" t="s">
        <v>74</v>
      </c>
      <c r="M954" t="s">
        <v>78</v>
      </c>
      <c r="N954" t="s">
        <v>14588</v>
      </c>
      <c r="O954" t="s">
        <v>74</v>
      </c>
      <c r="P954" t="s">
        <v>74</v>
      </c>
      <c r="Q954" t="s">
        <v>74</v>
      </c>
      <c r="R954" t="s">
        <v>74</v>
      </c>
      <c r="S954" t="s">
        <v>74</v>
      </c>
      <c r="T954" t="s">
        <v>74</v>
      </c>
      <c r="U954" t="s">
        <v>14610</v>
      </c>
      <c r="V954" t="s">
        <v>14611</v>
      </c>
      <c r="W954" t="s">
        <v>14612</v>
      </c>
      <c r="X954" t="s">
        <v>1988</v>
      </c>
      <c r="Y954" t="s">
        <v>14613</v>
      </c>
      <c r="Z954" t="s">
        <v>74</v>
      </c>
      <c r="AA954" t="s">
        <v>74</v>
      </c>
      <c r="AB954" t="s">
        <v>14614</v>
      </c>
      <c r="AC954" t="s">
        <v>14615</v>
      </c>
      <c r="AD954" t="s">
        <v>426</v>
      </c>
      <c r="AE954" t="s">
        <v>74</v>
      </c>
      <c r="AF954" t="s">
        <v>74</v>
      </c>
      <c r="AG954">
        <v>310</v>
      </c>
      <c r="AH954">
        <v>105</v>
      </c>
      <c r="AI954">
        <v>124</v>
      </c>
      <c r="AJ954">
        <v>3</v>
      </c>
      <c r="AK954">
        <v>86</v>
      </c>
      <c r="AL954" t="s">
        <v>14616</v>
      </c>
      <c r="AM954" t="s">
        <v>11103</v>
      </c>
      <c r="AN954" t="s">
        <v>14617</v>
      </c>
      <c r="AO954" t="s">
        <v>14618</v>
      </c>
      <c r="AP954" t="s">
        <v>74</v>
      </c>
      <c r="AQ954" t="s">
        <v>14619</v>
      </c>
      <c r="AR954" t="s">
        <v>14620</v>
      </c>
      <c r="AS954" t="s">
        <v>14621</v>
      </c>
      <c r="AT954" t="s">
        <v>74</v>
      </c>
      <c r="AU954">
        <v>2007</v>
      </c>
      <c r="AV954">
        <v>52</v>
      </c>
      <c r="AW954" t="s">
        <v>74</v>
      </c>
      <c r="AX954" t="s">
        <v>74</v>
      </c>
      <c r="AY954" t="s">
        <v>74</v>
      </c>
      <c r="AZ954" t="s">
        <v>74</v>
      </c>
      <c r="BA954" t="s">
        <v>74</v>
      </c>
      <c r="BB954">
        <v>267</v>
      </c>
      <c r="BC954">
        <v>362</v>
      </c>
      <c r="BD954" t="s">
        <v>74</v>
      </c>
      <c r="BE954" t="s">
        <v>14622</v>
      </c>
      <c r="BF954" t="str">
        <f>HYPERLINK("http://dx.doi.org/10.1016/S0065-2881(06)52003-6","http://dx.doi.org/10.1016/S0065-2881(06)52003-6")</f>
        <v>http://dx.doi.org/10.1016/S0065-2881(06)52003-6</v>
      </c>
      <c r="BG954" t="s">
        <v>74</v>
      </c>
      <c r="BH954" t="s">
        <v>74</v>
      </c>
      <c r="BI954">
        <v>96</v>
      </c>
      <c r="BJ954" t="s">
        <v>2178</v>
      </c>
      <c r="BK954" t="s">
        <v>14601</v>
      </c>
      <c r="BL954" t="s">
        <v>2178</v>
      </c>
      <c r="BM954" t="s">
        <v>14623</v>
      </c>
      <c r="BN954">
        <v>17298892</v>
      </c>
      <c r="BO954" t="s">
        <v>74</v>
      </c>
      <c r="BP954" t="s">
        <v>74</v>
      </c>
      <c r="BQ954" t="s">
        <v>74</v>
      </c>
      <c r="BR954" t="s">
        <v>101</v>
      </c>
      <c r="BS954" t="s">
        <v>14624</v>
      </c>
      <c r="BT954" t="str">
        <f>HYPERLINK("https%3A%2F%2Fwww.webofscience.com%2Fwos%2Fwoscc%2Ffull-record%2FWOS:000244865400003","View Full Record in Web of Science")</f>
        <v>View Full Record in Web of Science</v>
      </c>
    </row>
    <row r="955" spans="1:72" x14ac:dyDescent="0.15">
      <c r="A955" t="s">
        <v>72</v>
      </c>
      <c r="B955" t="s">
        <v>14625</v>
      </c>
      <c r="C955" t="s">
        <v>74</v>
      </c>
      <c r="D955" t="s">
        <v>74</v>
      </c>
      <c r="E955" t="s">
        <v>74</v>
      </c>
      <c r="F955" t="s">
        <v>14626</v>
      </c>
      <c r="G955" t="s">
        <v>74</v>
      </c>
      <c r="H955" t="s">
        <v>74</v>
      </c>
      <c r="I955" t="s">
        <v>14627</v>
      </c>
      <c r="J955" t="s">
        <v>14628</v>
      </c>
      <c r="K955" t="s">
        <v>74</v>
      </c>
      <c r="L955" t="s">
        <v>74</v>
      </c>
      <c r="M955" t="s">
        <v>78</v>
      </c>
      <c r="N955" t="s">
        <v>79</v>
      </c>
      <c r="O955" t="s">
        <v>74</v>
      </c>
      <c r="P955" t="s">
        <v>74</v>
      </c>
      <c r="Q955" t="s">
        <v>74</v>
      </c>
      <c r="R955" t="s">
        <v>74</v>
      </c>
      <c r="S955" t="s">
        <v>74</v>
      </c>
      <c r="T955" t="s">
        <v>14629</v>
      </c>
      <c r="U955" t="s">
        <v>14630</v>
      </c>
      <c r="V955" t="s">
        <v>14631</v>
      </c>
      <c r="W955" t="s">
        <v>14632</v>
      </c>
      <c r="X955" t="s">
        <v>14633</v>
      </c>
      <c r="Y955" t="s">
        <v>14634</v>
      </c>
      <c r="Z955" t="s">
        <v>14635</v>
      </c>
      <c r="AA955" t="s">
        <v>14636</v>
      </c>
      <c r="AB955" t="s">
        <v>14637</v>
      </c>
      <c r="AC955" t="s">
        <v>74</v>
      </c>
      <c r="AD955" t="s">
        <v>74</v>
      </c>
      <c r="AE955" t="s">
        <v>74</v>
      </c>
      <c r="AF955" t="s">
        <v>74</v>
      </c>
      <c r="AG955">
        <v>17</v>
      </c>
      <c r="AH955">
        <v>20</v>
      </c>
      <c r="AI955">
        <v>20</v>
      </c>
      <c r="AJ955">
        <v>0</v>
      </c>
      <c r="AK955">
        <v>0</v>
      </c>
      <c r="AL955" t="s">
        <v>2740</v>
      </c>
      <c r="AM955" t="s">
        <v>1504</v>
      </c>
      <c r="AN955" t="s">
        <v>2741</v>
      </c>
      <c r="AO955" t="s">
        <v>14638</v>
      </c>
      <c r="AP955" t="s">
        <v>14639</v>
      </c>
      <c r="AQ955" t="s">
        <v>74</v>
      </c>
      <c r="AR955" t="s">
        <v>14640</v>
      </c>
      <c r="AS955" t="s">
        <v>14641</v>
      </c>
      <c r="AT955" t="s">
        <v>74</v>
      </c>
      <c r="AU955">
        <v>2007</v>
      </c>
      <c r="AV955">
        <v>40</v>
      </c>
      <c r="AW955">
        <v>3</v>
      </c>
      <c r="AX955" t="s">
        <v>74</v>
      </c>
      <c r="AY955" t="s">
        <v>74</v>
      </c>
      <c r="AZ955" t="s">
        <v>74</v>
      </c>
      <c r="BA955" t="s">
        <v>74</v>
      </c>
      <c r="BB955">
        <v>331</v>
      </c>
      <c r="BC955">
        <v>337</v>
      </c>
      <c r="BD955" t="s">
        <v>74</v>
      </c>
      <c r="BE955" t="s">
        <v>14642</v>
      </c>
      <c r="BF955" t="str">
        <f>HYPERLINK("http://dx.doi.org/10.1016/j.asr.2007.05.018","http://dx.doi.org/10.1016/j.asr.2007.05.018")</f>
        <v>http://dx.doi.org/10.1016/j.asr.2007.05.018</v>
      </c>
      <c r="BG955" t="s">
        <v>74</v>
      </c>
      <c r="BH955" t="s">
        <v>74</v>
      </c>
      <c r="BI955">
        <v>7</v>
      </c>
      <c r="BJ955" t="s">
        <v>14643</v>
      </c>
      <c r="BK955" t="s">
        <v>98</v>
      </c>
      <c r="BL955" t="s">
        <v>14644</v>
      </c>
      <c r="BM955" t="s">
        <v>14645</v>
      </c>
      <c r="BN955" t="s">
        <v>74</v>
      </c>
      <c r="BO955" t="s">
        <v>74</v>
      </c>
      <c r="BP955" t="s">
        <v>74</v>
      </c>
      <c r="BQ955" t="s">
        <v>74</v>
      </c>
      <c r="BR955" t="s">
        <v>101</v>
      </c>
      <c r="BS955" t="s">
        <v>14646</v>
      </c>
      <c r="BT955" t="str">
        <f>HYPERLINK("https%3A%2F%2Fwww.webofscience.com%2Fwos%2Fwoscc%2Ffull-record%2FWOS:000253589400007","View Full Record in Web of Science")</f>
        <v>View Full Record in Web of Science</v>
      </c>
    </row>
    <row r="956" spans="1:72" x14ac:dyDescent="0.15">
      <c r="A956" t="s">
        <v>72</v>
      </c>
      <c r="B956" t="s">
        <v>14647</v>
      </c>
      <c r="C956" t="s">
        <v>74</v>
      </c>
      <c r="D956" t="s">
        <v>74</v>
      </c>
      <c r="E956" t="s">
        <v>74</v>
      </c>
      <c r="F956" t="s">
        <v>14648</v>
      </c>
      <c r="G956" t="s">
        <v>74</v>
      </c>
      <c r="H956" t="s">
        <v>74</v>
      </c>
      <c r="I956" t="s">
        <v>14649</v>
      </c>
      <c r="J956" t="s">
        <v>14628</v>
      </c>
      <c r="K956" t="s">
        <v>74</v>
      </c>
      <c r="L956" t="s">
        <v>74</v>
      </c>
      <c r="M956" t="s">
        <v>78</v>
      </c>
      <c r="N956" t="s">
        <v>79</v>
      </c>
      <c r="O956" t="s">
        <v>74</v>
      </c>
      <c r="P956" t="s">
        <v>74</v>
      </c>
      <c r="Q956" t="s">
        <v>74</v>
      </c>
      <c r="R956" t="s">
        <v>74</v>
      </c>
      <c r="S956" t="s">
        <v>74</v>
      </c>
      <c r="T956" t="s">
        <v>14650</v>
      </c>
      <c r="U956" t="s">
        <v>14651</v>
      </c>
      <c r="V956" t="s">
        <v>14652</v>
      </c>
      <c r="W956" t="s">
        <v>14653</v>
      </c>
      <c r="X956" t="s">
        <v>14654</v>
      </c>
      <c r="Y956" t="s">
        <v>14655</v>
      </c>
      <c r="Z956" t="s">
        <v>14656</v>
      </c>
      <c r="AA956" t="s">
        <v>14657</v>
      </c>
      <c r="AB956" t="s">
        <v>14658</v>
      </c>
      <c r="AC956" t="s">
        <v>14659</v>
      </c>
      <c r="AD956" t="s">
        <v>14660</v>
      </c>
      <c r="AE956" t="s">
        <v>74</v>
      </c>
      <c r="AF956" t="s">
        <v>74</v>
      </c>
      <c r="AG956">
        <v>18</v>
      </c>
      <c r="AH956">
        <v>7</v>
      </c>
      <c r="AI956">
        <v>7</v>
      </c>
      <c r="AJ956">
        <v>0</v>
      </c>
      <c r="AK956">
        <v>2</v>
      </c>
      <c r="AL956" t="s">
        <v>2740</v>
      </c>
      <c r="AM956" t="s">
        <v>1504</v>
      </c>
      <c r="AN956" t="s">
        <v>2741</v>
      </c>
      <c r="AO956" t="s">
        <v>14638</v>
      </c>
      <c r="AP956" t="s">
        <v>74</v>
      </c>
      <c r="AQ956" t="s">
        <v>74</v>
      </c>
      <c r="AR956" t="s">
        <v>14640</v>
      </c>
      <c r="AS956" t="s">
        <v>14641</v>
      </c>
      <c r="AT956" t="s">
        <v>74</v>
      </c>
      <c r="AU956">
        <v>2007</v>
      </c>
      <c r="AV956">
        <v>40</v>
      </c>
      <c r="AW956">
        <v>3</v>
      </c>
      <c r="AX956" t="s">
        <v>74</v>
      </c>
      <c r="AY956" t="s">
        <v>74</v>
      </c>
      <c r="AZ956" t="s">
        <v>74</v>
      </c>
      <c r="BA956" t="s">
        <v>74</v>
      </c>
      <c r="BB956">
        <v>384</v>
      </c>
      <c r="BC956">
        <v>389</v>
      </c>
      <c r="BD956" t="s">
        <v>74</v>
      </c>
      <c r="BE956" t="s">
        <v>14661</v>
      </c>
      <c r="BF956" t="str">
        <f>HYPERLINK("http://dx.doi.org/10.1016/j.asr.2007.02.059","http://dx.doi.org/10.1016/j.asr.2007.02.059")</f>
        <v>http://dx.doi.org/10.1016/j.asr.2007.02.059</v>
      </c>
      <c r="BG956" t="s">
        <v>74</v>
      </c>
      <c r="BH956" t="s">
        <v>74</v>
      </c>
      <c r="BI956">
        <v>6</v>
      </c>
      <c r="BJ956" t="s">
        <v>14643</v>
      </c>
      <c r="BK956" t="s">
        <v>98</v>
      </c>
      <c r="BL956" t="s">
        <v>14644</v>
      </c>
      <c r="BM956" t="s">
        <v>14645</v>
      </c>
      <c r="BN956" t="s">
        <v>74</v>
      </c>
      <c r="BO956" t="s">
        <v>1249</v>
      </c>
      <c r="BP956" t="s">
        <v>74</v>
      </c>
      <c r="BQ956" t="s">
        <v>74</v>
      </c>
      <c r="BR956" t="s">
        <v>101</v>
      </c>
      <c r="BS956" t="s">
        <v>14662</v>
      </c>
      <c r="BT956" t="str">
        <f>HYPERLINK("https%3A%2F%2Fwww.webofscience.com%2Fwos%2Fwoscc%2Ffull-record%2FWOS:000253589400014","View Full Record in Web of Science")</f>
        <v>View Full Record in Web of Science</v>
      </c>
    </row>
    <row r="957" spans="1:72" x14ac:dyDescent="0.15">
      <c r="A957" t="s">
        <v>72</v>
      </c>
      <c r="B957" t="s">
        <v>14663</v>
      </c>
      <c r="C957" t="s">
        <v>74</v>
      </c>
      <c r="D957" t="s">
        <v>74</v>
      </c>
      <c r="E957" t="s">
        <v>74</v>
      </c>
      <c r="F957" t="s">
        <v>14664</v>
      </c>
      <c r="G957" t="s">
        <v>74</v>
      </c>
      <c r="H957" t="s">
        <v>74</v>
      </c>
      <c r="I957" t="s">
        <v>14665</v>
      </c>
      <c r="J957" t="s">
        <v>14628</v>
      </c>
      <c r="K957" t="s">
        <v>74</v>
      </c>
      <c r="L957" t="s">
        <v>74</v>
      </c>
      <c r="M957" t="s">
        <v>78</v>
      </c>
      <c r="N957" t="s">
        <v>79</v>
      </c>
      <c r="O957" t="s">
        <v>74</v>
      </c>
      <c r="P957" t="s">
        <v>74</v>
      </c>
      <c r="Q957" t="s">
        <v>74</v>
      </c>
      <c r="R957" t="s">
        <v>74</v>
      </c>
      <c r="S957" t="s">
        <v>74</v>
      </c>
      <c r="T957" t="s">
        <v>14666</v>
      </c>
      <c r="U957" t="s">
        <v>14667</v>
      </c>
      <c r="V957" t="s">
        <v>14668</v>
      </c>
      <c r="W957" t="s">
        <v>14669</v>
      </c>
      <c r="X957" t="s">
        <v>14670</v>
      </c>
      <c r="Y957" t="s">
        <v>14671</v>
      </c>
      <c r="Z957" t="s">
        <v>14672</v>
      </c>
      <c r="AA957" t="s">
        <v>14673</v>
      </c>
      <c r="AB957" t="s">
        <v>74</v>
      </c>
      <c r="AC957" t="s">
        <v>74</v>
      </c>
      <c r="AD957" t="s">
        <v>74</v>
      </c>
      <c r="AE957" t="s">
        <v>74</v>
      </c>
      <c r="AF957" t="s">
        <v>74</v>
      </c>
      <c r="AG957">
        <v>86</v>
      </c>
      <c r="AH957">
        <v>66</v>
      </c>
      <c r="AI957">
        <v>76</v>
      </c>
      <c r="AJ957">
        <v>0</v>
      </c>
      <c r="AK957">
        <v>29</v>
      </c>
      <c r="AL957" t="s">
        <v>2740</v>
      </c>
      <c r="AM957" t="s">
        <v>1504</v>
      </c>
      <c r="AN957" t="s">
        <v>2741</v>
      </c>
      <c r="AO957" t="s">
        <v>14638</v>
      </c>
      <c r="AP957" t="s">
        <v>14639</v>
      </c>
      <c r="AQ957" t="s">
        <v>74</v>
      </c>
      <c r="AR957" t="s">
        <v>14640</v>
      </c>
      <c r="AS957" t="s">
        <v>14641</v>
      </c>
      <c r="AT957" t="s">
        <v>74</v>
      </c>
      <c r="AU957">
        <v>2007</v>
      </c>
      <c r="AV957">
        <v>40</v>
      </c>
      <c r="AW957">
        <v>7</v>
      </c>
      <c r="AX957" t="s">
        <v>74</v>
      </c>
      <c r="AY957" t="s">
        <v>74</v>
      </c>
      <c r="AZ957" t="s">
        <v>74</v>
      </c>
      <c r="BA957" t="s">
        <v>74</v>
      </c>
      <c r="BB957">
        <v>1126</v>
      </c>
      <c r="BC957">
        <v>1139</v>
      </c>
      <c r="BD957" t="s">
        <v>74</v>
      </c>
      <c r="BE957" t="s">
        <v>14674</v>
      </c>
      <c r="BF957" t="str">
        <f>HYPERLINK("http://dx.doi.org/10.1016/j.asr.2007.01.071","http://dx.doi.org/10.1016/j.asr.2007.01.071")</f>
        <v>http://dx.doi.org/10.1016/j.asr.2007.01.071</v>
      </c>
      <c r="BG957" t="s">
        <v>74</v>
      </c>
      <c r="BH957" t="s">
        <v>74</v>
      </c>
      <c r="BI957">
        <v>14</v>
      </c>
      <c r="BJ957" t="s">
        <v>14643</v>
      </c>
      <c r="BK957" t="s">
        <v>98</v>
      </c>
      <c r="BL957" t="s">
        <v>14644</v>
      </c>
      <c r="BM957" t="s">
        <v>14675</v>
      </c>
      <c r="BN957" t="s">
        <v>74</v>
      </c>
      <c r="BO957" t="s">
        <v>74</v>
      </c>
      <c r="BP957" t="s">
        <v>74</v>
      </c>
      <c r="BQ957" t="s">
        <v>74</v>
      </c>
      <c r="BR957" t="s">
        <v>101</v>
      </c>
      <c r="BS957" t="s">
        <v>14676</v>
      </c>
      <c r="BT957" t="str">
        <f>HYPERLINK("https%3A%2F%2Fwww.webofscience.com%2Fwos%2Fwoscc%2Ffull-record%2FWOS:000253589800035","View Full Record in Web of Science")</f>
        <v>View Full Record in Web of Science</v>
      </c>
    </row>
    <row r="958" spans="1:72" x14ac:dyDescent="0.15">
      <c r="A958" t="s">
        <v>72</v>
      </c>
      <c r="B958" t="s">
        <v>14677</v>
      </c>
      <c r="C958" t="s">
        <v>74</v>
      </c>
      <c r="D958" t="s">
        <v>74</v>
      </c>
      <c r="E958" t="s">
        <v>74</v>
      </c>
      <c r="F958" t="s">
        <v>14678</v>
      </c>
      <c r="G958" t="s">
        <v>74</v>
      </c>
      <c r="H958" t="s">
        <v>74</v>
      </c>
      <c r="I958" t="s">
        <v>14679</v>
      </c>
      <c r="J958" t="s">
        <v>14628</v>
      </c>
      <c r="K958" t="s">
        <v>74</v>
      </c>
      <c r="L958" t="s">
        <v>74</v>
      </c>
      <c r="M958" t="s">
        <v>78</v>
      </c>
      <c r="N958" t="s">
        <v>79</v>
      </c>
      <c r="O958" t="s">
        <v>74</v>
      </c>
      <c r="P958" t="s">
        <v>74</v>
      </c>
      <c r="Q958" t="s">
        <v>74</v>
      </c>
      <c r="R958" t="s">
        <v>74</v>
      </c>
      <c r="S958" t="s">
        <v>74</v>
      </c>
      <c r="T958" t="s">
        <v>14680</v>
      </c>
      <c r="U958" t="s">
        <v>14681</v>
      </c>
      <c r="V958" t="s">
        <v>14682</v>
      </c>
      <c r="W958" t="s">
        <v>14683</v>
      </c>
      <c r="X958" t="s">
        <v>14684</v>
      </c>
      <c r="Y958" t="s">
        <v>14685</v>
      </c>
      <c r="Z958" t="s">
        <v>14686</v>
      </c>
      <c r="AA958" t="s">
        <v>14687</v>
      </c>
      <c r="AB958" t="s">
        <v>14688</v>
      </c>
      <c r="AC958" t="s">
        <v>74</v>
      </c>
      <c r="AD958" t="s">
        <v>74</v>
      </c>
      <c r="AE958" t="s">
        <v>74</v>
      </c>
      <c r="AF958" t="s">
        <v>74</v>
      </c>
      <c r="AG958">
        <v>39</v>
      </c>
      <c r="AH958">
        <v>97</v>
      </c>
      <c r="AI958">
        <v>112</v>
      </c>
      <c r="AJ958">
        <v>0</v>
      </c>
      <c r="AK958">
        <v>21</v>
      </c>
      <c r="AL958" t="s">
        <v>2740</v>
      </c>
      <c r="AM958" t="s">
        <v>1504</v>
      </c>
      <c r="AN958" t="s">
        <v>2741</v>
      </c>
      <c r="AO958" t="s">
        <v>14638</v>
      </c>
      <c r="AP958" t="s">
        <v>14639</v>
      </c>
      <c r="AQ958" t="s">
        <v>74</v>
      </c>
      <c r="AR958" t="s">
        <v>14640</v>
      </c>
      <c r="AS958" t="s">
        <v>14641</v>
      </c>
      <c r="AT958" t="s">
        <v>74</v>
      </c>
      <c r="AU958">
        <v>2007</v>
      </c>
      <c r="AV958">
        <v>40</v>
      </c>
      <c r="AW958">
        <v>11</v>
      </c>
      <c r="AX958" t="s">
        <v>74</v>
      </c>
      <c r="AY958" t="s">
        <v>74</v>
      </c>
      <c r="AZ958" t="s">
        <v>74</v>
      </c>
      <c r="BA958" t="s">
        <v>74</v>
      </c>
      <c r="BB958">
        <v>1657</v>
      </c>
      <c r="BC958">
        <v>1664</v>
      </c>
      <c r="BD958" t="s">
        <v>74</v>
      </c>
      <c r="BE958" t="s">
        <v>14689</v>
      </c>
      <c r="BF958" t="str">
        <f>HYPERLINK("http://dx.doi.org/10.1016/j.asr.2007.06.004","http://dx.doi.org/10.1016/j.asr.2007.06.004")</f>
        <v>http://dx.doi.org/10.1016/j.asr.2007.06.004</v>
      </c>
      <c r="BG958" t="s">
        <v>74</v>
      </c>
      <c r="BH958" t="s">
        <v>74</v>
      </c>
      <c r="BI958">
        <v>8</v>
      </c>
      <c r="BJ958" t="s">
        <v>14643</v>
      </c>
      <c r="BK958" t="s">
        <v>98</v>
      </c>
      <c r="BL958" t="s">
        <v>14644</v>
      </c>
      <c r="BM958" t="s">
        <v>14690</v>
      </c>
      <c r="BN958" t="s">
        <v>74</v>
      </c>
      <c r="BO958" t="s">
        <v>74</v>
      </c>
      <c r="BP958" t="s">
        <v>74</v>
      </c>
      <c r="BQ958" t="s">
        <v>74</v>
      </c>
      <c r="BR958" t="s">
        <v>101</v>
      </c>
      <c r="BS958" t="s">
        <v>14691</v>
      </c>
      <c r="BT958" t="str">
        <f>HYPERLINK("https%3A%2F%2Fwww.webofscience.com%2Fwos%2Fwoscc%2Ffull-record%2FWOS:000253590200015","View Full Record in Web of Science")</f>
        <v>View Full Record in Web of Science</v>
      </c>
    </row>
    <row r="959" spans="1:72" x14ac:dyDescent="0.15">
      <c r="A959" t="s">
        <v>72</v>
      </c>
      <c r="B959" t="s">
        <v>14692</v>
      </c>
      <c r="C959" t="s">
        <v>74</v>
      </c>
      <c r="D959" t="s">
        <v>74</v>
      </c>
      <c r="E959" t="s">
        <v>74</v>
      </c>
      <c r="F959" t="s">
        <v>14693</v>
      </c>
      <c r="G959" t="s">
        <v>74</v>
      </c>
      <c r="H959" t="s">
        <v>74</v>
      </c>
      <c r="I959" t="s">
        <v>14694</v>
      </c>
      <c r="J959" t="s">
        <v>14628</v>
      </c>
      <c r="K959" t="s">
        <v>74</v>
      </c>
      <c r="L959" t="s">
        <v>74</v>
      </c>
      <c r="M959" t="s">
        <v>78</v>
      </c>
      <c r="N959" t="s">
        <v>79</v>
      </c>
      <c r="O959" t="s">
        <v>74</v>
      </c>
      <c r="P959" t="s">
        <v>74</v>
      </c>
      <c r="Q959" t="s">
        <v>74</v>
      </c>
      <c r="R959" t="s">
        <v>74</v>
      </c>
      <c r="S959" t="s">
        <v>74</v>
      </c>
      <c r="T959" t="s">
        <v>14695</v>
      </c>
      <c r="U959" t="s">
        <v>74</v>
      </c>
      <c r="V959" t="s">
        <v>14696</v>
      </c>
      <c r="W959" t="s">
        <v>14697</v>
      </c>
      <c r="X959" t="s">
        <v>14698</v>
      </c>
      <c r="Y959" t="s">
        <v>14699</v>
      </c>
      <c r="Z959" t="s">
        <v>14700</v>
      </c>
      <c r="AA959" t="s">
        <v>74</v>
      </c>
      <c r="AB959" t="s">
        <v>74</v>
      </c>
      <c r="AC959" t="s">
        <v>74</v>
      </c>
      <c r="AD959" t="s">
        <v>74</v>
      </c>
      <c r="AE959" t="s">
        <v>74</v>
      </c>
      <c r="AF959" t="s">
        <v>74</v>
      </c>
      <c r="AG959">
        <v>18</v>
      </c>
      <c r="AH959">
        <v>10</v>
      </c>
      <c r="AI959">
        <v>12</v>
      </c>
      <c r="AJ959">
        <v>0</v>
      </c>
      <c r="AK959">
        <v>6</v>
      </c>
      <c r="AL959" t="s">
        <v>2740</v>
      </c>
      <c r="AM959" t="s">
        <v>1504</v>
      </c>
      <c r="AN959" t="s">
        <v>2741</v>
      </c>
      <c r="AO959" t="s">
        <v>14638</v>
      </c>
      <c r="AP959" t="s">
        <v>74</v>
      </c>
      <c r="AQ959" t="s">
        <v>74</v>
      </c>
      <c r="AR959" t="s">
        <v>14640</v>
      </c>
      <c r="AS959" t="s">
        <v>14641</v>
      </c>
      <c r="AT959" t="s">
        <v>74</v>
      </c>
      <c r="AU959">
        <v>2007</v>
      </c>
      <c r="AV959">
        <v>39</v>
      </c>
      <c r="AW959">
        <v>1</v>
      </c>
      <c r="AX959" t="s">
        <v>74</v>
      </c>
      <c r="AY959" t="s">
        <v>74</v>
      </c>
      <c r="AZ959" t="s">
        <v>74</v>
      </c>
      <c r="BA959" t="s">
        <v>74</v>
      </c>
      <c r="BB959">
        <v>7</v>
      </c>
      <c r="BC959">
        <v>12</v>
      </c>
      <c r="BD959" t="s">
        <v>74</v>
      </c>
      <c r="BE959" t="s">
        <v>14701</v>
      </c>
      <c r="BF959" t="str">
        <f>HYPERLINK("http://dx.doi.org/10.1016/j.asr.2006.02.027","http://dx.doi.org/10.1016/j.asr.2006.02.027")</f>
        <v>http://dx.doi.org/10.1016/j.asr.2006.02.027</v>
      </c>
      <c r="BG959" t="s">
        <v>74</v>
      </c>
      <c r="BH959" t="s">
        <v>74</v>
      </c>
      <c r="BI959">
        <v>6</v>
      </c>
      <c r="BJ959" t="s">
        <v>14643</v>
      </c>
      <c r="BK959" t="s">
        <v>98</v>
      </c>
      <c r="BL959" t="s">
        <v>14644</v>
      </c>
      <c r="BM959" t="s">
        <v>14702</v>
      </c>
      <c r="BN959" t="s">
        <v>74</v>
      </c>
      <c r="BO959" t="s">
        <v>74</v>
      </c>
      <c r="BP959" t="s">
        <v>74</v>
      </c>
      <c r="BQ959" t="s">
        <v>74</v>
      </c>
      <c r="BR959" t="s">
        <v>101</v>
      </c>
      <c r="BS959" t="s">
        <v>14703</v>
      </c>
      <c r="BT959" t="str">
        <f>HYPERLINK("https%3A%2F%2Fwww.webofscience.com%2Fwos%2Fwoscc%2Ffull-record%2FWOS:000254821000003","View Full Record in Web of Science")</f>
        <v>View Full Record in Web of Science</v>
      </c>
    </row>
    <row r="960" spans="1:72" x14ac:dyDescent="0.15">
      <c r="A960" t="s">
        <v>72</v>
      </c>
      <c r="B960" t="s">
        <v>14704</v>
      </c>
      <c r="C960" t="s">
        <v>74</v>
      </c>
      <c r="D960" t="s">
        <v>74</v>
      </c>
      <c r="E960" t="s">
        <v>74</v>
      </c>
      <c r="F960" t="s">
        <v>14705</v>
      </c>
      <c r="G960" t="s">
        <v>74</v>
      </c>
      <c r="H960" t="s">
        <v>74</v>
      </c>
      <c r="I960" t="s">
        <v>14706</v>
      </c>
      <c r="J960" t="s">
        <v>14628</v>
      </c>
      <c r="K960" t="s">
        <v>74</v>
      </c>
      <c r="L960" t="s">
        <v>74</v>
      </c>
      <c r="M960" t="s">
        <v>78</v>
      </c>
      <c r="N960" t="s">
        <v>79</v>
      </c>
      <c r="O960" t="s">
        <v>74</v>
      </c>
      <c r="P960" t="s">
        <v>74</v>
      </c>
      <c r="Q960" t="s">
        <v>74</v>
      </c>
      <c r="R960" t="s">
        <v>74</v>
      </c>
      <c r="S960" t="s">
        <v>74</v>
      </c>
      <c r="T960" t="s">
        <v>14707</v>
      </c>
      <c r="U960" t="s">
        <v>74</v>
      </c>
      <c r="V960" t="s">
        <v>14708</v>
      </c>
      <c r="W960" t="s">
        <v>14709</v>
      </c>
      <c r="X960" t="s">
        <v>2367</v>
      </c>
      <c r="Y960" t="s">
        <v>14710</v>
      </c>
      <c r="Z960" t="s">
        <v>14711</v>
      </c>
      <c r="AA960" t="s">
        <v>14712</v>
      </c>
      <c r="AB960" t="s">
        <v>74</v>
      </c>
      <c r="AC960" t="s">
        <v>74</v>
      </c>
      <c r="AD960" t="s">
        <v>74</v>
      </c>
      <c r="AE960" t="s">
        <v>74</v>
      </c>
      <c r="AF960" t="s">
        <v>74</v>
      </c>
      <c r="AG960">
        <v>3</v>
      </c>
      <c r="AH960">
        <v>0</v>
      </c>
      <c r="AI960">
        <v>0</v>
      </c>
      <c r="AJ960">
        <v>0</v>
      </c>
      <c r="AK960">
        <v>1</v>
      </c>
      <c r="AL960" t="s">
        <v>2740</v>
      </c>
      <c r="AM960" t="s">
        <v>1504</v>
      </c>
      <c r="AN960" t="s">
        <v>2741</v>
      </c>
      <c r="AO960" t="s">
        <v>14638</v>
      </c>
      <c r="AP960" t="s">
        <v>14639</v>
      </c>
      <c r="AQ960" t="s">
        <v>74</v>
      </c>
      <c r="AR960" t="s">
        <v>14640</v>
      </c>
      <c r="AS960" t="s">
        <v>14641</v>
      </c>
      <c r="AT960" t="s">
        <v>74</v>
      </c>
      <c r="AU960">
        <v>2007</v>
      </c>
      <c r="AV960">
        <v>39</v>
      </c>
      <c r="AW960">
        <v>1</v>
      </c>
      <c r="AX960" t="s">
        <v>74</v>
      </c>
      <c r="AY960" t="s">
        <v>74</v>
      </c>
      <c r="AZ960" t="s">
        <v>74</v>
      </c>
      <c r="BA960" t="s">
        <v>74</v>
      </c>
      <c r="BB960">
        <v>190</v>
      </c>
      <c r="BC960">
        <v>193</v>
      </c>
      <c r="BD960" t="s">
        <v>74</v>
      </c>
      <c r="BE960" t="s">
        <v>14713</v>
      </c>
      <c r="BF960" t="str">
        <f>HYPERLINK("http://dx.doi.org/10.1016/j.asr.2006.02.023","http://dx.doi.org/10.1016/j.asr.2006.02.023")</f>
        <v>http://dx.doi.org/10.1016/j.asr.2006.02.023</v>
      </c>
      <c r="BG960" t="s">
        <v>74</v>
      </c>
      <c r="BH960" t="s">
        <v>74</v>
      </c>
      <c r="BI960">
        <v>4</v>
      </c>
      <c r="BJ960" t="s">
        <v>14643</v>
      </c>
      <c r="BK960" t="s">
        <v>98</v>
      </c>
      <c r="BL960" t="s">
        <v>14644</v>
      </c>
      <c r="BM960" t="s">
        <v>14702</v>
      </c>
      <c r="BN960" t="s">
        <v>74</v>
      </c>
      <c r="BO960" t="s">
        <v>74</v>
      </c>
      <c r="BP960" t="s">
        <v>74</v>
      </c>
      <c r="BQ960" t="s">
        <v>74</v>
      </c>
      <c r="BR960" t="s">
        <v>101</v>
      </c>
      <c r="BS960" t="s">
        <v>14714</v>
      </c>
      <c r="BT960" t="str">
        <f>HYPERLINK("https%3A%2F%2Fwww.webofscience.com%2Fwos%2Fwoscc%2Ffull-record%2FWOS:000254821000029","View Full Record in Web of Science")</f>
        <v>View Full Record in Web of Science</v>
      </c>
    </row>
    <row r="961" spans="1:72" x14ac:dyDescent="0.15">
      <c r="A961" t="s">
        <v>72</v>
      </c>
      <c r="B961" t="s">
        <v>14715</v>
      </c>
      <c r="C961" t="s">
        <v>74</v>
      </c>
      <c r="D961" t="s">
        <v>74</v>
      </c>
      <c r="E961" t="s">
        <v>74</v>
      </c>
      <c r="F961" t="s">
        <v>14716</v>
      </c>
      <c r="G961" t="s">
        <v>74</v>
      </c>
      <c r="H961" t="s">
        <v>74</v>
      </c>
      <c r="I961" t="s">
        <v>14717</v>
      </c>
      <c r="J961" t="s">
        <v>14628</v>
      </c>
      <c r="K961" t="s">
        <v>74</v>
      </c>
      <c r="L961" t="s">
        <v>74</v>
      </c>
      <c r="M961" t="s">
        <v>78</v>
      </c>
      <c r="N961" t="s">
        <v>79</v>
      </c>
      <c r="O961" t="s">
        <v>74</v>
      </c>
      <c r="P961" t="s">
        <v>74</v>
      </c>
      <c r="Q961" t="s">
        <v>74</v>
      </c>
      <c r="R961" t="s">
        <v>74</v>
      </c>
      <c r="S961" t="s">
        <v>74</v>
      </c>
      <c r="T961" t="s">
        <v>14718</v>
      </c>
      <c r="U961" t="s">
        <v>74</v>
      </c>
      <c r="V961" t="s">
        <v>14719</v>
      </c>
      <c r="W961" t="s">
        <v>14720</v>
      </c>
      <c r="X961" t="s">
        <v>14721</v>
      </c>
      <c r="Y961" t="s">
        <v>14722</v>
      </c>
      <c r="Z961" t="s">
        <v>14723</v>
      </c>
      <c r="AA961" t="s">
        <v>74</v>
      </c>
      <c r="AB961" t="s">
        <v>74</v>
      </c>
      <c r="AC961" t="s">
        <v>74</v>
      </c>
      <c r="AD961" t="s">
        <v>74</v>
      </c>
      <c r="AE961" t="s">
        <v>74</v>
      </c>
      <c r="AF961" t="s">
        <v>74</v>
      </c>
      <c r="AG961">
        <v>9</v>
      </c>
      <c r="AH961">
        <v>0</v>
      </c>
      <c r="AI961">
        <v>0</v>
      </c>
      <c r="AJ961">
        <v>0</v>
      </c>
      <c r="AK961">
        <v>0</v>
      </c>
      <c r="AL961" t="s">
        <v>2740</v>
      </c>
      <c r="AM961" t="s">
        <v>1504</v>
      </c>
      <c r="AN961" t="s">
        <v>2741</v>
      </c>
      <c r="AO961" t="s">
        <v>14638</v>
      </c>
      <c r="AP961" t="s">
        <v>14639</v>
      </c>
      <c r="AQ961" t="s">
        <v>74</v>
      </c>
      <c r="AR961" t="s">
        <v>14640</v>
      </c>
      <c r="AS961" t="s">
        <v>14641</v>
      </c>
      <c r="AT961" t="s">
        <v>74</v>
      </c>
      <c r="AU961">
        <v>2007</v>
      </c>
      <c r="AV961">
        <v>39</v>
      </c>
      <c r="AW961">
        <v>3</v>
      </c>
      <c r="AX961" t="s">
        <v>74</v>
      </c>
      <c r="AY961" t="s">
        <v>74</v>
      </c>
      <c r="AZ961" t="s">
        <v>74</v>
      </c>
      <c r="BA961" t="s">
        <v>74</v>
      </c>
      <c r="BB961">
        <v>468</v>
      </c>
      <c r="BC961">
        <v>471</v>
      </c>
      <c r="BD961" t="s">
        <v>74</v>
      </c>
      <c r="BE961" t="s">
        <v>14724</v>
      </c>
      <c r="BF961" t="str">
        <f>HYPERLINK("http://dx.doi.org/10.1016/j.asr.2007.04.001","http://dx.doi.org/10.1016/j.asr.2007.04.001")</f>
        <v>http://dx.doi.org/10.1016/j.asr.2007.04.001</v>
      </c>
      <c r="BG961" t="s">
        <v>74</v>
      </c>
      <c r="BH961" t="s">
        <v>74</v>
      </c>
      <c r="BI961">
        <v>4</v>
      </c>
      <c r="BJ961" t="s">
        <v>14643</v>
      </c>
      <c r="BK961" t="s">
        <v>98</v>
      </c>
      <c r="BL961" t="s">
        <v>14644</v>
      </c>
      <c r="BM961" t="s">
        <v>14725</v>
      </c>
      <c r="BN961" t="s">
        <v>74</v>
      </c>
      <c r="BO961" t="s">
        <v>74</v>
      </c>
      <c r="BP961" t="s">
        <v>74</v>
      </c>
      <c r="BQ961" t="s">
        <v>74</v>
      </c>
      <c r="BR961" t="s">
        <v>101</v>
      </c>
      <c r="BS961" t="s">
        <v>14726</v>
      </c>
      <c r="BT961" t="str">
        <f>HYPERLINK("https%3A%2F%2Fwww.webofscience.com%2Fwos%2Fwoscc%2Ffull-record%2FWOS:000254821500018","View Full Record in Web of Science")</f>
        <v>View Full Record in Web of Science</v>
      </c>
    </row>
    <row r="962" spans="1:72" x14ac:dyDescent="0.15">
      <c r="A962" t="s">
        <v>72</v>
      </c>
      <c r="B962" t="s">
        <v>14727</v>
      </c>
      <c r="C962" t="s">
        <v>74</v>
      </c>
      <c r="D962" t="s">
        <v>74</v>
      </c>
      <c r="E962" t="s">
        <v>74</v>
      </c>
      <c r="F962" t="s">
        <v>14728</v>
      </c>
      <c r="G962" t="s">
        <v>74</v>
      </c>
      <c r="H962" t="s">
        <v>74</v>
      </c>
      <c r="I962" t="s">
        <v>14729</v>
      </c>
      <c r="J962" t="s">
        <v>14628</v>
      </c>
      <c r="K962" t="s">
        <v>74</v>
      </c>
      <c r="L962" t="s">
        <v>74</v>
      </c>
      <c r="M962" t="s">
        <v>78</v>
      </c>
      <c r="N962" t="s">
        <v>79</v>
      </c>
      <c r="O962" t="s">
        <v>74</v>
      </c>
      <c r="P962" t="s">
        <v>74</v>
      </c>
      <c r="Q962" t="s">
        <v>74</v>
      </c>
      <c r="R962" t="s">
        <v>74</v>
      </c>
      <c r="S962" t="s">
        <v>74</v>
      </c>
      <c r="T962" t="s">
        <v>14730</v>
      </c>
      <c r="U962" t="s">
        <v>14731</v>
      </c>
      <c r="V962" t="s">
        <v>14732</v>
      </c>
      <c r="W962" t="s">
        <v>14733</v>
      </c>
      <c r="X962" t="s">
        <v>14734</v>
      </c>
      <c r="Y962" t="s">
        <v>14735</v>
      </c>
      <c r="Z962" t="s">
        <v>14736</v>
      </c>
      <c r="AA962" t="s">
        <v>74</v>
      </c>
      <c r="AB962" t="s">
        <v>74</v>
      </c>
      <c r="AC962" t="s">
        <v>74</v>
      </c>
      <c r="AD962" t="s">
        <v>74</v>
      </c>
      <c r="AE962" t="s">
        <v>74</v>
      </c>
      <c r="AF962" t="s">
        <v>74</v>
      </c>
      <c r="AG962">
        <v>35</v>
      </c>
      <c r="AH962">
        <v>107</v>
      </c>
      <c r="AI962">
        <v>111</v>
      </c>
      <c r="AJ962">
        <v>0</v>
      </c>
      <c r="AK962">
        <v>27</v>
      </c>
      <c r="AL962" t="s">
        <v>2740</v>
      </c>
      <c r="AM962" t="s">
        <v>1504</v>
      </c>
      <c r="AN962" t="s">
        <v>2741</v>
      </c>
      <c r="AO962" t="s">
        <v>14638</v>
      </c>
      <c r="AP962" t="s">
        <v>74</v>
      </c>
      <c r="AQ962" t="s">
        <v>74</v>
      </c>
      <c r="AR962" t="s">
        <v>14640</v>
      </c>
      <c r="AS962" t="s">
        <v>14641</v>
      </c>
      <c r="AT962" t="s">
        <v>74</v>
      </c>
      <c r="AU962">
        <v>2007</v>
      </c>
      <c r="AV962">
        <v>39</v>
      </c>
      <c r="AW962">
        <v>4</v>
      </c>
      <c r="AX962" t="s">
        <v>74</v>
      </c>
      <c r="AY962" t="s">
        <v>74</v>
      </c>
      <c r="AZ962" t="s">
        <v>74</v>
      </c>
      <c r="BA962" t="s">
        <v>74</v>
      </c>
      <c r="BB962">
        <v>605</v>
      </c>
      <c r="BC962">
        <v>611</v>
      </c>
      <c r="BD962" t="s">
        <v>74</v>
      </c>
      <c r="BE962" t="s">
        <v>14737</v>
      </c>
      <c r="BF962" t="str">
        <f>HYPERLINK("http://dx.doi.org/10.1016/j.asr.2006.05.029","http://dx.doi.org/10.1016/j.asr.2006.05.029")</f>
        <v>http://dx.doi.org/10.1016/j.asr.2006.05.029</v>
      </c>
      <c r="BG962" t="s">
        <v>74</v>
      </c>
      <c r="BH962" t="s">
        <v>74</v>
      </c>
      <c r="BI962">
        <v>7</v>
      </c>
      <c r="BJ962" t="s">
        <v>14643</v>
      </c>
      <c r="BK962" t="s">
        <v>98</v>
      </c>
      <c r="BL962" t="s">
        <v>14644</v>
      </c>
      <c r="BM962" t="s">
        <v>14738</v>
      </c>
      <c r="BN962" t="s">
        <v>74</v>
      </c>
      <c r="BO962" t="s">
        <v>74</v>
      </c>
      <c r="BP962" t="s">
        <v>74</v>
      </c>
      <c r="BQ962" t="s">
        <v>74</v>
      </c>
      <c r="BR962" t="s">
        <v>101</v>
      </c>
      <c r="BS962" t="s">
        <v>14739</v>
      </c>
      <c r="BT962" t="str">
        <f>HYPERLINK("https%3A%2F%2Fwww.webofscience.com%2Fwos%2Fwoscc%2Ffull-record%2FWOS:000253488800015","View Full Record in Web of Science")</f>
        <v>View Full Record in Web of Science</v>
      </c>
    </row>
    <row r="963" spans="1:72" x14ac:dyDescent="0.15">
      <c r="A963" t="s">
        <v>72</v>
      </c>
      <c r="B963" t="s">
        <v>14740</v>
      </c>
      <c r="C963" t="s">
        <v>74</v>
      </c>
      <c r="D963" t="s">
        <v>74</v>
      </c>
      <c r="E963" t="s">
        <v>74</v>
      </c>
      <c r="F963" t="s">
        <v>14741</v>
      </c>
      <c r="G963" t="s">
        <v>74</v>
      </c>
      <c r="H963" t="s">
        <v>74</v>
      </c>
      <c r="I963" t="s">
        <v>14742</v>
      </c>
      <c r="J963" t="s">
        <v>14743</v>
      </c>
      <c r="K963" t="s">
        <v>74</v>
      </c>
      <c r="L963" t="s">
        <v>74</v>
      </c>
      <c r="M963" t="s">
        <v>14744</v>
      </c>
      <c r="N963" t="s">
        <v>79</v>
      </c>
      <c r="O963" t="s">
        <v>74</v>
      </c>
      <c r="P963" t="s">
        <v>74</v>
      </c>
      <c r="Q963" t="s">
        <v>74</v>
      </c>
      <c r="R963" t="s">
        <v>74</v>
      </c>
      <c r="S963" t="s">
        <v>74</v>
      </c>
      <c r="T963" t="s">
        <v>14745</v>
      </c>
      <c r="U963" t="s">
        <v>74</v>
      </c>
      <c r="V963" t="s">
        <v>14746</v>
      </c>
      <c r="W963" t="s">
        <v>14747</v>
      </c>
      <c r="X963" t="s">
        <v>74</v>
      </c>
      <c r="Y963" t="s">
        <v>14748</v>
      </c>
      <c r="Z963" t="s">
        <v>74</v>
      </c>
      <c r="AA963" t="s">
        <v>74</v>
      </c>
      <c r="AB963" t="s">
        <v>14749</v>
      </c>
      <c r="AC963" t="s">
        <v>74</v>
      </c>
      <c r="AD963" t="s">
        <v>74</v>
      </c>
      <c r="AE963" t="s">
        <v>74</v>
      </c>
      <c r="AF963" t="s">
        <v>74</v>
      </c>
      <c r="AG963">
        <v>6</v>
      </c>
      <c r="AH963">
        <v>0</v>
      </c>
      <c r="AI963">
        <v>0</v>
      </c>
      <c r="AJ963">
        <v>0</v>
      </c>
      <c r="AK963">
        <v>1</v>
      </c>
      <c r="AL963" t="s">
        <v>14750</v>
      </c>
      <c r="AM963" t="s">
        <v>14751</v>
      </c>
      <c r="AN963" t="s">
        <v>14752</v>
      </c>
      <c r="AO963" t="s">
        <v>14753</v>
      </c>
      <c r="AP963" t="s">
        <v>74</v>
      </c>
      <c r="AQ963" t="s">
        <v>74</v>
      </c>
      <c r="AR963" t="s">
        <v>14754</v>
      </c>
      <c r="AS963" t="s">
        <v>14755</v>
      </c>
      <c r="AT963" t="s">
        <v>74</v>
      </c>
      <c r="AU963">
        <v>2007</v>
      </c>
      <c r="AV963">
        <v>7</v>
      </c>
      <c r="AW963">
        <v>2</v>
      </c>
      <c r="AX963" t="s">
        <v>74</v>
      </c>
      <c r="AY963" t="s">
        <v>74</v>
      </c>
      <c r="AZ963" t="s">
        <v>74</v>
      </c>
      <c r="BA963" t="s">
        <v>74</v>
      </c>
      <c r="BB963">
        <v>119</v>
      </c>
      <c r="BC963">
        <v>121</v>
      </c>
      <c r="BD963" t="s">
        <v>74</v>
      </c>
      <c r="BE963" t="s">
        <v>74</v>
      </c>
      <c r="BF963" t="s">
        <v>74</v>
      </c>
      <c r="BG963" t="s">
        <v>74</v>
      </c>
      <c r="BH963" t="s">
        <v>74</v>
      </c>
      <c r="BI963">
        <v>3</v>
      </c>
      <c r="BJ963" t="s">
        <v>14756</v>
      </c>
      <c r="BK963" t="s">
        <v>4083</v>
      </c>
      <c r="BL963" t="s">
        <v>11529</v>
      </c>
      <c r="BM963" t="s">
        <v>14757</v>
      </c>
      <c r="BN963" t="s">
        <v>74</v>
      </c>
      <c r="BO963" t="s">
        <v>74</v>
      </c>
      <c r="BP963" t="s">
        <v>74</v>
      </c>
      <c r="BQ963" t="s">
        <v>74</v>
      </c>
      <c r="BR963" t="s">
        <v>101</v>
      </c>
      <c r="BS963" t="s">
        <v>14758</v>
      </c>
      <c r="BT963" t="str">
        <f>HYPERLINK("https%3A%2F%2Fwww.webofscience.com%2Fwos%2Fwoscc%2Ffull-record%2FWOS:000421125800006","View Full Record in Web of Science")</f>
        <v>View Full Record in Web of Science</v>
      </c>
    </row>
    <row r="964" spans="1:72" x14ac:dyDescent="0.15">
      <c r="A964" t="s">
        <v>72</v>
      </c>
      <c r="B964" t="s">
        <v>14759</v>
      </c>
      <c r="C964" t="s">
        <v>74</v>
      </c>
      <c r="D964" t="s">
        <v>74</v>
      </c>
      <c r="E964" t="s">
        <v>74</v>
      </c>
      <c r="F964" t="s">
        <v>14760</v>
      </c>
      <c r="G964" t="s">
        <v>74</v>
      </c>
      <c r="H964" t="s">
        <v>74</v>
      </c>
      <c r="I964" t="s">
        <v>14761</v>
      </c>
      <c r="J964" t="s">
        <v>4825</v>
      </c>
      <c r="K964" t="s">
        <v>74</v>
      </c>
      <c r="L964" t="s">
        <v>74</v>
      </c>
      <c r="M964" t="s">
        <v>78</v>
      </c>
      <c r="N964" t="s">
        <v>79</v>
      </c>
      <c r="O964" t="s">
        <v>74</v>
      </c>
      <c r="P964" t="s">
        <v>74</v>
      </c>
      <c r="Q964" t="s">
        <v>74</v>
      </c>
      <c r="R964" t="s">
        <v>74</v>
      </c>
      <c r="S964" t="s">
        <v>74</v>
      </c>
      <c r="T964" t="s">
        <v>14762</v>
      </c>
      <c r="U964" t="s">
        <v>14763</v>
      </c>
      <c r="V964" t="s">
        <v>14764</v>
      </c>
      <c r="W964" t="s">
        <v>14765</v>
      </c>
      <c r="X964" t="s">
        <v>14766</v>
      </c>
      <c r="Y964" t="s">
        <v>14767</v>
      </c>
      <c r="Z964" t="s">
        <v>14768</v>
      </c>
      <c r="AA964" t="s">
        <v>14769</v>
      </c>
      <c r="AB964" t="s">
        <v>14770</v>
      </c>
      <c r="AC964" t="s">
        <v>74</v>
      </c>
      <c r="AD964" t="s">
        <v>74</v>
      </c>
      <c r="AE964" t="s">
        <v>74</v>
      </c>
      <c r="AF964" t="s">
        <v>74</v>
      </c>
      <c r="AG964">
        <v>41</v>
      </c>
      <c r="AH964">
        <v>26</v>
      </c>
      <c r="AI964">
        <v>30</v>
      </c>
      <c r="AJ964">
        <v>4</v>
      </c>
      <c r="AK964">
        <v>121</v>
      </c>
      <c r="AL964" t="s">
        <v>4832</v>
      </c>
      <c r="AM964" t="s">
        <v>4833</v>
      </c>
      <c r="AN964" t="s">
        <v>4834</v>
      </c>
      <c r="AO964" t="s">
        <v>4835</v>
      </c>
      <c r="AP964" t="s">
        <v>4836</v>
      </c>
      <c r="AQ964" t="s">
        <v>74</v>
      </c>
      <c r="AR964" t="s">
        <v>4837</v>
      </c>
      <c r="AS964" t="s">
        <v>4838</v>
      </c>
      <c r="AT964" t="s">
        <v>14564</v>
      </c>
      <c r="AU964">
        <v>2007</v>
      </c>
      <c r="AV964">
        <v>292</v>
      </c>
      <c r="AW964">
        <v>1</v>
      </c>
      <c r="AX964" t="s">
        <v>74</v>
      </c>
      <c r="AY964" t="s">
        <v>74</v>
      </c>
      <c r="AZ964" t="s">
        <v>74</v>
      </c>
      <c r="BA964" t="s">
        <v>74</v>
      </c>
      <c r="BB964" t="s">
        <v>14771</v>
      </c>
      <c r="BC964" t="s">
        <v>14772</v>
      </c>
      <c r="BD964" t="s">
        <v>74</v>
      </c>
      <c r="BE964" t="s">
        <v>14773</v>
      </c>
      <c r="BF964" t="str">
        <f>HYPERLINK("http://dx.doi.org/10.1152/ajpregu.00912.2005","http://dx.doi.org/10.1152/ajpregu.00912.2005")</f>
        <v>http://dx.doi.org/10.1152/ajpregu.00912.2005</v>
      </c>
      <c r="BG964" t="s">
        <v>74</v>
      </c>
      <c r="BH964" t="s">
        <v>74</v>
      </c>
      <c r="BI964">
        <v>10</v>
      </c>
      <c r="BJ964" t="s">
        <v>4843</v>
      </c>
      <c r="BK964" t="s">
        <v>98</v>
      </c>
      <c r="BL964" t="s">
        <v>4843</v>
      </c>
      <c r="BM964" t="s">
        <v>14774</v>
      </c>
      <c r="BN964">
        <v>16959865</v>
      </c>
      <c r="BO964" t="s">
        <v>74</v>
      </c>
      <c r="BP964" t="s">
        <v>74</v>
      </c>
      <c r="BQ964" t="s">
        <v>74</v>
      </c>
      <c r="BR964" t="s">
        <v>101</v>
      </c>
      <c r="BS964" t="s">
        <v>14775</v>
      </c>
      <c r="BT964" t="str">
        <f>HYPERLINK("https%3A%2F%2Fwww.webofscience.com%2Fwos%2Fwoscc%2Ffull-record%2FWOS:000243171900019","View Full Record in Web of Science")</f>
        <v>View Full Record in Web of Science</v>
      </c>
    </row>
    <row r="965" spans="1:72" x14ac:dyDescent="0.15">
      <c r="A965" t="s">
        <v>72</v>
      </c>
      <c r="B965" t="s">
        <v>14776</v>
      </c>
      <c r="C965" t="s">
        <v>74</v>
      </c>
      <c r="D965" t="s">
        <v>74</v>
      </c>
      <c r="E965" t="s">
        <v>74</v>
      </c>
      <c r="F965" t="s">
        <v>14777</v>
      </c>
      <c r="G965" t="s">
        <v>74</v>
      </c>
      <c r="H965" t="s">
        <v>74</v>
      </c>
      <c r="I965" t="s">
        <v>14778</v>
      </c>
      <c r="J965" t="s">
        <v>14779</v>
      </c>
      <c r="K965" t="s">
        <v>74</v>
      </c>
      <c r="L965" t="s">
        <v>74</v>
      </c>
      <c r="M965" t="s">
        <v>78</v>
      </c>
      <c r="N965" t="s">
        <v>79</v>
      </c>
      <c r="O965" t="s">
        <v>74</v>
      </c>
      <c r="P965" t="s">
        <v>74</v>
      </c>
      <c r="Q965" t="s">
        <v>74</v>
      </c>
      <c r="R965" t="s">
        <v>74</v>
      </c>
      <c r="S965" t="s">
        <v>74</v>
      </c>
      <c r="T965" t="s">
        <v>14780</v>
      </c>
      <c r="U965" t="s">
        <v>14781</v>
      </c>
      <c r="V965" t="s">
        <v>14782</v>
      </c>
      <c r="W965" t="s">
        <v>14783</v>
      </c>
      <c r="X965" t="s">
        <v>14784</v>
      </c>
      <c r="Y965" t="s">
        <v>14785</v>
      </c>
      <c r="Z965" t="s">
        <v>14786</v>
      </c>
      <c r="AA965" t="s">
        <v>14787</v>
      </c>
      <c r="AB965" t="s">
        <v>74</v>
      </c>
      <c r="AC965" t="s">
        <v>74</v>
      </c>
      <c r="AD965" t="s">
        <v>74</v>
      </c>
      <c r="AE965" t="s">
        <v>74</v>
      </c>
      <c r="AF965" t="s">
        <v>74</v>
      </c>
      <c r="AG965">
        <v>68</v>
      </c>
      <c r="AH965">
        <v>17</v>
      </c>
      <c r="AI965">
        <v>17</v>
      </c>
      <c r="AJ965">
        <v>1</v>
      </c>
      <c r="AK965">
        <v>13</v>
      </c>
      <c r="AL965" t="s">
        <v>875</v>
      </c>
      <c r="AM965" t="s">
        <v>876</v>
      </c>
      <c r="AN965" t="s">
        <v>877</v>
      </c>
      <c r="AO965" t="s">
        <v>14788</v>
      </c>
      <c r="AP965" t="s">
        <v>14789</v>
      </c>
      <c r="AQ965" t="s">
        <v>74</v>
      </c>
      <c r="AR965" t="s">
        <v>14790</v>
      </c>
      <c r="AS965" t="s">
        <v>14791</v>
      </c>
      <c r="AT965" t="s">
        <v>14564</v>
      </c>
      <c r="AU965">
        <v>2007</v>
      </c>
      <c r="AV965">
        <v>169</v>
      </c>
      <c r="AW965">
        <v>1</v>
      </c>
      <c r="AX965" t="s">
        <v>74</v>
      </c>
      <c r="AY965" t="s">
        <v>74</v>
      </c>
      <c r="AZ965" t="s">
        <v>74</v>
      </c>
      <c r="BA965" t="s">
        <v>74</v>
      </c>
      <c r="BB965">
        <v>73</v>
      </c>
      <c r="BC965">
        <v>86</v>
      </c>
      <c r="BD965" t="s">
        <v>74</v>
      </c>
      <c r="BE965" t="s">
        <v>14792</v>
      </c>
      <c r="BF965" t="str">
        <f>HYPERLINK("http://dx.doi.org/10.1086/510213","http://dx.doi.org/10.1086/510213")</f>
        <v>http://dx.doi.org/10.1086/510213</v>
      </c>
      <c r="BG965" t="s">
        <v>74</v>
      </c>
      <c r="BH965" t="s">
        <v>74</v>
      </c>
      <c r="BI965">
        <v>14</v>
      </c>
      <c r="BJ965" t="s">
        <v>14793</v>
      </c>
      <c r="BK965" t="s">
        <v>98</v>
      </c>
      <c r="BL965" t="s">
        <v>14794</v>
      </c>
      <c r="BM965" t="s">
        <v>14795</v>
      </c>
      <c r="BN965">
        <v>17206586</v>
      </c>
      <c r="BO965" t="s">
        <v>74</v>
      </c>
      <c r="BP965" t="s">
        <v>74</v>
      </c>
      <c r="BQ965" t="s">
        <v>74</v>
      </c>
      <c r="BR965" t="s">
        <v>101</v>
      </c>
      <c r="BS965" t="s">
        <v>14796</v>
      </c>
      <c r="BT965" t="str">
        <f>HYPERLINK("https%3A%2F%2Fwww.webofscience.com%2Fwos%2Fwoscc%2Ffull-record%2FWOS:000243132100011","View Full Record in Web of Science")</f>
        <v>View Full Record in Web of Science</v>
      </c>
    </row>
    <row r="966" spans="1:72" x14ac:dyDescent="0.15">
      <c r="A966" t="s">
        <v>72</v>
      </c>
      <c r="B966" t="s">
        <v>14797</v>
      </c>
      <c r="C966" t="s">
        <v>74</v>
      </c>
      <c r="D966" t="s">
        <v>74</v>
      </c>
      <c r="E966" t="s">
        <v>74</v>
      </c>
      <c r="F966" t="s">
        <v>14798</v>
      </c>
      <c r="G966" t="s">
        <v>74</v>
      </c>
      <c r="H966" t="s">
        <v>74</v>
      </c>
      <c r="I966" t="s">
        <v>14799</v>
      </c>
      <c r="J966" t="s">
        <v>14800</v>
      </c>
      <c r="K966" t="s">
        <v>74</v>
      </c>
      <c r="L966" t="s">
        <v>74</v>
      </c>
      <c r="M966" t="s">
        <v>78</v>
      </c>
      <c r="N966" t="s">
        <v>79</v>
      </c>
      <c r="O966" t="s">
        <v>74</v>
      </c>
      <c r="P966" t="s">
        <v>74</v>
      </c>
      <c r="Q966" t="s">
        <v>74</v>
      </c>
      <c r="R966" t="s">
        <v>74</v>
      </c>
      <c r="S966" t="s">
        <v>74</v>
      </c>
      <c r="T966" t="s">
        <v>14801</v>
      </c>
      <c r="U966" t="s">
        <v>14802</v>
      </c>
      <c r="V966" t="s">
        <v>14803</v>
      </c>
      <c r="W966" t="s">
        <v>14804</v>
      </c>
      <c r="X966" t="s">
        <v>14805</v>
      </c>
      <c r="Y966" t="s">
        <v>14806</v>
      </c>
      <c r="Z966" t="s">
        <v>14807</v>
      </c>
      <c r="AA966" t="s">
        <v>14808</v>
      </c>
      <c r="AB966" t="s">
        <v>14809</v>
      </c>
      <c r="AC966" t="s">
        <v>74</v>
      </c>
      <c r="AD966" t="s">
        <v>74</v>
      </c>
      <c r="AE966" t="s">
        <v>74</v>
      </c>
      <c r="AF966" t="s">
        <v>74</v>
      </c>
      <c r="AG966">
        <v>36</v>
      </c>
      <c r="AH966">
        <v>47</v>
      </c>
      <c r="AI966">
        <v>51</v>
      </c>
      <c r="AJ966">
        <v>1</v>
      </c>
      <c r="AK966">
        <v>5</v>
      </c>
      <c r="AL966" t="s">
        <v>13407</v>
      </c>
      <c r="AM966" t="s">
        <v>13408</v>
      </c>
      <c r="AN966" t="s">
        <v>13409</v>
      </c>
      <c r="AO966" t="s">
        <v>14810</v>
      </c>
      <c r="AP966" t="s">
        <v>14811</v>
      </c>
      <c r="AQ966" t="s">
        <v>74</v>
      </c>
      <c r="AR966" t="s">
        <v>14812</v>
      </c>
      <c r="AS966" t="s">
        <v>8353</v>
      </c>
      <c r="AT966" t="s">
        <v>74</v>
      </c>
      <c r="AU966">
        <v>2007</v>
      </c>
      <c r="AV966">
        <v>25</v>
      </c>
      <c r="AW966">
        <v>2</v>
      </c>
      <c r="AX966" t="s">
        <v>74</v>
      </c>
      <c r="AY966" t="s">
        <v>74</v>
      </c>
      <c r="AZ966" t="s">
        <v>74</v>
      </c>
      <c r="BA966" t="s">
        <v>74</v>
      </c>
      <c r="BB966">
        <v>361</v>
      </c>
      <c r="BC966">
        <v>374</v>
      </c>
      <c r="BD966" t="s">
        <v>74</v>
      </c>
      <c r="BE966" t="s">
        <v>14813</v>
      </c>
      <c r="BF966" t="str">
        <f>HYPERLINK("http://dx.doi.org/10.5194/angeo-25-361-2007","http://dx.doi.org/10.5194/angeo-25-361-2007")</f>
        <v>http://dx.doi.org/10.5194/angeo-25-361-2007</v>
      </c>
      <c r="BG966" t="s">
        <v>74</v>
      </c>
      <c r="BH966" t="s">
        <v>74</v>
      </c>
      <c r="BI966">
        <v>14</v>
      </c>
      <c r="BJ966" t="s">
        <v>14814</v>
      </c>
      <c r="BK966" t="s">
        <v>98</v>
      </c>
      <c r="BL966" t="s">
        <v>14815</v>
      </c>
      <c r="BM966" t="s">
        <v>14816</v>
      </c>
      <c r="BN966" t="s">
        <v>74</v>
      </c>
      <c r="BO966" t="s">
        <v>13275</v>
      </c>
      <c r="BP966" t="s">
        <v>74</v>
      </c>
      <c r="BQ966" t="s">
        <v>74</v>
      </c>
      <c r="BR966" t="s">
        <v>101</v>
      </c>
      <c r="BS966" t="s">
        <v>14817</v>
      </c>
      <c r="BT966" t="str">
        <f>HYPERLINK("https%3A%2F%2Fwww.webofscience.com%2Fwos%2Fwoscc%2Ffull-record%2FWOS:000245543300003","View Full Record in Web of Science")</f>
        <v>View Full Record in Web of Science</v>
      </c>
    </row>
    <row r="967" spans="1:72" x14ac:dyDescent="0.15">
      <c r="A967" t="s">
        <v>72</v>
      </c>
      <c r="B967" t="s">
        <v>14818</v>
      </c>
      <c r="C967" t="s">
        <v>74</v>
      </c>
      <c r="D967" t="s">
        <v>74</v>
      </c>
      <c r="E967" t="s">
        <v>74</v>
      </c>
      <c r="F967" t="s">
        <v>14819</v>
      </c>
      <c r="G967" t="s">
        <v>74</v>
      </c>
      <c r="H967" t="s">
        <v>74</v>
      </c>
      <c r="I967" t="s">
        <v>14820</v>
      </c>
      <c r="J967" t="s">
        <v>14800</v>
      </c>
      <c r="K967" t="s">
        <v>74</v>
      </c>
      <c r="L967" t="s">
        <v>74</v>
      </c>
      <c r="M967" t="s">
        <v>78</v>
      </c>
      <c r="N967" t="s">
        <v>79</v>
      </c>
      <c r="O967" t="s">
        <v>74</v>
      </c>
      <c r="P967" t="s">
        <v>74</v>
      </c>
      <c r="Q967" t="s">
        <v>74</v>
      </c>
      <c r="R967" t="s">
        <v>74</v>
      </c>
      <c r="S967" t="s">
        <v>74</v>
      </c>
      <c r="T967" t="s">
        <v>14821</v>
      </c>
      <c r="U967" t="s">
        <v>14822</v>
      </c>
      <c r="V967" t="s">
        <v>14823</v>
      </c>
      <c r="W967" t="s">
        <v>14824</v>
      </c>
      <c r="X967" t="s">
        <v>14825</v>
      </c>
      <c r="Y967" t="s">
        <v>14826</v>
      </c>
      <c r="Z967" t="s">
        <v>14827</v>
      </c>
      <c r="AA967" t="s">
        <v>14828</v>
      </c>
      <c r="AB967" t="s">
        <v>14829</v>
      </c>
      <c r="AC967" t="s">
        <v>74</v>
      </c>
      <c r="AD967" t="s">
        <v>74</v>
      </c>
      <c r="AE967" t="s">
        <v>74</v>
      </c>
      <c r="AF967" t="s">
        <v>74</v>
      </c>
      <c r="AG967">
        <v>30</v>
      </c>
      <c r="AH967">
        <v>19</v>
      </c>
      <c r="AI967">
        <v>20</v>
      </c>
      <c r="AJ967">
        <v>0</v>
      </c>
      <c r="AK967">
        <v>9</v>
      </c>
      <c r="AL967" t="s">
        <v>13407</v>
      </c>
      <c r="AM967" t="s">
        <v>13408</v>
      </c>
      <c r="AN967" t="s">
        <v>13409</v>
      </c>
      <c r="AO967" t="s">
        <v>14810</v>
      </c>
      <c r="AP967" t="s">
        <v>14811</v>
      </c>
      <c r="AQ967" t="s">
        <v>74</v>
      </c>
      <c r="AR967" t="s">
        <v>14812</v>
      </c>
      <c r="AS967" t="s">
        <v>8353</v>
      </c>
      <c r="AT967" t="s">
        <v>74</v>
      </c>
      <c r="AU967">
        <v>2007</v>
      </c>
      <c r="AV967">
        <v>25</v>
      </c>
      <c r="AW967">
        <v>2</v>
      </c>
      <c r="AX967" t="s">
        <v>74</v>
      </c>
      <c r="AY967" t="s">
        <v>74</v>
      </c>
      <c r="AZ967" t="s">
        <v>74</v>
      </c>
      <c r="BA967" t="s">
        <v>74</v>
      </c>
      <c r="BB967">
        <v>385</v>
      </c>
      <c r="BC967">
        <v>398</v>
      </c>
      <c r="BD967" t="s">
        <v>74</v>
      </c>
      <c r="BE967" t="s">
        <v>14830</v>
      </c>
      <c r="BF967" t="str">
        <f>HYPERLINK("http://dx.doi.org/10.5194/angeo-25-385-2007","http://dx.doi.org/10.5194/angeo-25-385-2007")</f>
        <v>http://dx.doi.org/10.5194/angeo-25-385-2007</v>
      </c>
      <c r="BG967" t="s">
        <v>74</v>
      </c>
      <c r="BH967" t="s">
        <v>74</v>
      </c>
      <c r="BI967">
        <v>14</v>
      </c>
      <c r="BJ967" t="s">
        <v>14814</v>
      </c>
      <c r="BK967" t="s">
        <v>98</v>
      </c>
      <c r="BL967" t="s">
        <v>14815</v>
      </c>
      <c r="BM967" t="s">
        <v>14816</v>
      </c>
      <c r="BN967" t="s">
        <v>74</v>
      </c>
      <c r="BO967" t="s">
        <v>13275</v>
      </c>
      <c r="BP967" t="s">
        <v>74</v>
      </c>
      <c r="BQ967" t="s">
        <v>74</v>
      </c>
      <c r="BR967" t="s">
        <v>101</v>
      </c>
      <c r="BS967" t="s">
        <v>14831</v>
      </c>
      <c r="BT967" t="str">
        <f>HYPERLINK("https%3A%2F%2Fwww.webofscience.com%2Fwos%2Fwoscc%2Ffull-record%2FWOS:000245543300005","View Full Record in Web of Science")</f>
        <v>View Full Record in Web of Science</v>
      </c>
    </row>
    <row r="968" spans="1:72" x14ac:dyDescent="0.15">
      <c r="A968" t="s">
        <v>72</v>
      </c>
      <c r="B968" t="s">
        <v>14832</v>
      </c>
      <c r="C968" t="s">
        <v>74</v>
      </c>
      <c r="D968" t="s">
        <v>74</v>
      </c>
      <c r="E968" t="s">
        <v>74</v>
      </c>
      <c r="F968" t="s">
        <v>14833</v>
      </c>
      <c r="G968" t="s">
        <v>74</v>
      </c>
      <c r="H968" t="s">
        <v>74</v>
      </c>
      <c r="I968" t="s">
        <v>14834</v>
      </c>
      <c r="J968" t="s">
        <v>14800</v>
      </c>
      <c r="K968" t="s">
        <v>74</v>
      </c>
      <c r="L968" t="s">
        <v>74</v>
      </c>
      <c r="M968" t="s">
        <v>78</v>
      </c>
      <c r="N968" t="s">
        <v>79</v>
      </c>
      <c r="O968" t="s">
        <v>74</v>
      </c>
      <c r="P968" t="s">
        <v>74</v>
      </c>
      <c r="Q968" t="s">
        <v>74</v>
      </c>
      <c r="R968" t="s">
        <v>74</v>
      </c>
      <c r="S968" t="s">
        <v>74</v>
      </c>
      <c r="T968" t="s">
        <v>14835</v>
      </c>
      <c r="U968" t="s">
        <v>14836</v>
      </c>
      <c r="V968" t="s">
        <v>14837</v>
      </c>
      <c r="W968" t="s">
        <v>14838</v>
      </c>
      <c r="X968" t="s">
        <v>207</v>
      </c>
      <c r="Y968" t="s">
        <v>14839</v>
      </c>
      <c r="Z968" t="s">
        <v>14840</v>
      </c>
      <c r="AA968" t="s">
        <v>74</v>
      </c>
      <c r="AB968" t="s">
        <v>14841</v>
      </c>
      <c r="AC968" t="s">
        <v>74</v>
      </c>
      <c r="AD968" t="s">
        <v>74</v>
      </c>
      <c r="AE968" t="s">
        <v>74</v>
      </c>
      <c r="AF968" t="s">
        <v>74</v>
      </c>
      <c r="AG968">
        <v>27</v>
      </c>
      <c r="AH968">
        <v>4</v>
      </c>
      <c r="AI968">
        <v>5</v>
      </c>
      <c r="AJ968">
        <v>0</v>
      </c>
      <c r="AK968">
        <v>4</v>
      </c>
      <c r="AL968" t="s">
        <v>13407</v>
      </c>
      <c r="AM968" t="s">
        <v>13408</v>
      </c>
      <c r="AN968" t="s">
        <v>13409</v>
      </c>
      <c r="AO968" t="s">
        <v>14810</v>
      </c>
      <c r="AP968" t="s">
        <v>14811</v>
      </c>
      <c r="AQ968" t="s">
        <v>74</v>
      </c>
      <c r="AR968" t="s">
        <v>14812</v>
      </c>
      <c r="AS968" t="s">
        <v>8353</v>
      </c>
      <c r="AT968" t="s">
        <v>74</v>
      </c>
      <c r="AU968">
        <v>2007</v>
      </c>
      <c r="AV968">
        <v>25</v>
      </c>
      <c r="AW968">
        <v>6</v>
      </c>
      <c r="AX968" t="s">
        <v>74</v>
      </c>
      <c r="AY968" t="s">
        <v>74</v>
      </c>
      <c r="AZ968" t="s">
        <v>74</v>
      </c>
      <c r="BA968" t="s">
        <v>74</v>
      </c>
      <c r="BB968">
        <v>1269</v>
      </c>
      <c r="BC968">
        <v>1278</v>
      </c>
      <c r="BD968" t="s">
        <v>74</v>
      </c>
      <c r="BE968" t="s">
        <v>14842</v>
      </c>
      <c r="BF968" t="str">
        <f>HYPERLINK("http://dx.doi.org/10.5194/angeo-25-1269-2007","http://dx.doi.org/10.5194/angeo-25-1269-2007")</f>
        <v>http://dx.doi.org/10.5194/angeo-25-1269-2007</v>
      </c>
      <c r="BG968" t="s">
        <v>74</v>
      </c>
      <c r="BH968" t="s">
        <v>74</v>
      </c>
      <c r="BI968">
        <v>10</v>
      </c>
      <c r="BJ968" t="s">
        <v>14814</v>
      </c>
      <c r="BK968" t="s">
        <v>98</v>
      </c>
      <c r="BL968" t="s">
        <v>14815</v>
      </c>
      <c r="BM968" t="s">
        <v>14843</v>
      </c>
      <c r="BN968" t="s">
        <v>74</v>
      </c>
      <c r="BO968" t="s">
        <v>14844</v>
      </c>
      <c r="BP968" t="s">
        <v>74</v>
      </c>
      <c r="BQ968" t="s">
        <v>74</v>
      </c>
      <c r="BR968" t="s">
        <v>101</v>
      </c>
      <c r="BS968" t="s">
        <v>14845</v>
      </c>
      <c r="BT968" t="str">
        <f>HYPERLINK("https%3A%2F%2Fwww.webofscience.com%2Fwos%2Fwoscc%2Ffull-record%2FWOS:000248406700005","View Full Record in Web of Science")</f>
        <v>View Full Record in Web of Science</v>
      </c>
    </row>
    <row r="969" spans="1:72" x14ac:dyDescent="0.15">
      <c r="A969" t="s">
        <v>72</v>
      </c>
      <c r="B969" t="s">
        <v>14846</v>
      </c>
      <c r="C969" t="s">
        <v>74</v>
      </c>
      <c r="D969" t="s">
        <v>74</v>
      </c>
      <c r="E969" t="s">
        <v>74</v>
      </c>
      <c r="F969" t="s">
        <v>14847</v>
      </c>
      <c r="G969" t="s">
        <v>74</v>
      </c>
      <c r="H969" t="s">
        <v>74</v>
      </c>
      <c r="I969" t="s">
        <v>14848</v>
      </c>
      <c r="J969" t="s">
        <v>14800</v>
      </c>
      <c r="K969" t="s">
        <v>74</v>
      </c>
      <c r="L969" t="s">
        <v>74</v>
      </c>
      <c r="M969" t="s">
        <v>78</v>
      </c>
      <c r="N969" t="s">
        <v>79</v>
      </c>
      <c r="O969" t="s">
        <v>74</v>
      </c>
      <c r="P969" t="s">
        <v>74</v>
      </c>
      <c r="Q969" t="s">
        <v>74</v>
      </c>
      <c r="R969" t="s">
        <v>74</v>
      </c>
      <c r="S969" t="s">
        <v>74</v>
      </c>
      <c r="T969" t="s">
        <v>14849</v>
      </c>
      <c r="U969" t="s">
        <v>14850</v>
      </c>
      <c r="V969" t="s">
        <v>14851</v>
      </c>
      <c r="W969" t="s">
        <v>14852</v>
      </c>
      <c r="X969" t="s">
        <v>14853</v>
      </c>
      <c r="Y969" t="s">
        <v>14854</v>
      </c>
      <c r="Z969" t="s">
        <v>14855</v>
      </c>
      <c r="AA969" t="s">
        <v>14856</v>
      </c>
      <c r="AB969" t="s">
        <v>74</v>
      </c>
      <c r="AC969" t="s">
        <v>74</v>
      </c>
      <c r="AD969" t="s">
        <v>74</v>
      </c>
      <c r="AE969" t="s">
        <v>74</v>
      </c>
      <c r="AF969" t="s">
        <v>74</v>
      </c>
      <c r="AG969">
        <v>60</v>
      </c>
      <c r="AH969">
        <v>40</v>
      </c>
      <c r="AI969">
        <v>42</v>
      </c>
      <c r="AJ969">
        <v>1</v>
      </c>
      <c r="AK969">
        <v>16</v>
      </c>
      <c r="AL969" t="s">
        <v>13407</v>
      </c>
      <c r="AM969" t="s">
        <v>13408</v>
      </c>
      <c r="AN969" t="s">
        <v>13409</v>
      </c>
      <c r="AO969" t="s">
        <v>14810</v>
      </c>
      <c r="AP969" t="s">
        <v>14811</v>
      </c>
      <c r="AQ969" t="s">
        <v>74</v>
      </c>
      <c r="AR969" t="s">
        <v>14812</v>
      </c>
      <c r="AS969" t="s">
        <v>8353</v>
      </c>
      <c r="AT969" t="s">
        <v>74</v>
      </c>
      <c r="AU969">
        <v>2007</v>
      </c>
      <c r="AV969">
        <v>25</v>
      </c>
      <c r="AW969">
        <v>7</v>
      </c>
      <c r="AX969" t="s">
        <v>74</v>
      </c>
      <c r="AY969" t="s">
        <v>74</v>
      </c>
      <c r="AZ969" t="s">
        <v>74</v>
      </c>
      <c r="BA969" t="s">
        <v>74</v>
      </c>
      <c r="BB969">
        <v>1555</v>
      </c>
      <c r="BC969">
        <v>1568</v>
      </c>
      <c r="BD969" t="s">
        <v>74</v>
      </c>
      <c r="BE969" t="s">
        <v>14857</v>
      </c>
      <c r="BF969" t="str">
        <f>HYPERLINK("http://dx.doi.org/10.5194/angeo-25-1555-2007","http://dx.doi.org/10.5194/angeo-25-1555-2007")</f>
        <v>http://dx.doi.org/10.5194/angeo-25-1555-2007</v>
      </c>
      <c r="BG969" t="s">
        <v>74</v>
      </c>
      <c r="BH969" t="s">
        <v>74</v>
      </c>
      <c r="BI969">
        <v>14</v>
      </c>
      <c r="BJ969" t="s">
        <v>14814</v>
      </c>
      <c r="BK969" t="s">
        <v>98</v>
      </c>
      <c r="BL969" t="s">
        <v>14815</v>
      </c>
      <c r="BM969" t="s">
        <v>14858</v>
      </c>
      <c r="BN969" t="s">
        <v>74</v>
      </c>
      <c r="BO969" t="s">
        <v>13275</v>
      </c>
      <c r="BP969" t="s">
        <v>74</v>
      </c>
      <c r="BQ969" t="s">
        <v>74</v>
      </c>
      <c r="BR969" t="s">
        <v>101</v>
      </c>
      <c r="BS969" t="s">
        <v>14859</v>
      </c>
      <c r="BT969" t="str">
        <f>HYPERLINK("https%3A%2F%2Fwww.webofscience.com%2Fwos%2Fwoscc%2Ffull-record%2FWOS:000249484000010","View Full Record in Web of Science")</f>
        <v>View Full Record in Web of Science</v>
      </c>
    </row>
    <row r="970" spans="1:72" x14ac:dyDescent="0.15">
      <c r="A970" t="s">
        <v>72</v>
      </c>
      <c r="B970" t="s">
        <v>14860</v>
      </c>
      <c r="C970" t="s">
        <v>74</v>
      </c>
      <c r="D970" t="s">
        <v>74</v>
      </c>
      <c r="E970" t="s">
        <v>74</v>
      </c>
      <c r="F970" t="s">
        <v>14861</v>
      </c>
      <c r="G970" t="s">
        <v>74</v>
      </c>
      <c r="H970" t="s">
        <v>74</v>
      </c>
      <c r="I970" t="s">
        <v>14862</v>
      </c>
      <c r="J970" t="s">
        <v>14800</v>
      </c>
      <c r="K970" t="s">
        <v>74</v>
      </c>
      <c r="L970" t="s">
        <v>74</v>
      </c>
      <c r="M970" t="s">
        <v>78</v>
      </c>
      <c r="N970" t="s">
        <v>79</v>
      </c>
      <c r="O970" t="s">
        <v>74</v>
      </c>
      <c r="P970" t="s">
        <v>74</v>
      </c>
      <c r="Q970" t="s">
        <v>74</v>
      </c>
      <c r="R970" t="s">
        <v>74</v>
      </c>
      <c r="S970" t="s">
        <v>74</v>
      </c>
      <c r="T970" t="s">
        <v>14863</v>
      </c>
      <c r="U970" t="s">
        <v>14864</v>
      </c>
      <c r="V970" t="s">
        <v>14865</v>
      </c>
      <c r="W970" t="s">
        <v>14866</v>
      </c>
      <c r="X970" t="s">
        <v>14867</v>
      </c>
      <c r="Y970" t="s">
        <v>14868</v>
      </c>
      <c r="Z970" t="s">
        <v>3270</v>
      </c>
      <c r="AA970" t="s">
        <v>1123</v>
      </c>
      <c r="AB970" t="s">
        <v>14869</v>
      </c>
      <c r="AC970" t="s">
        <v>74</v>
      </c>
      <c r="AD970" t="s">
        <v>74</v>
      </c>
      <c r="AE970" t="s">
        <v>74</v>
      </c>
      <c r="AF970" t="s">
        <v>74</v>
      </c>
      <c r="AG970">
        <v>50</v>
      </c>
      <c r="AH970">
        <v>25</v>
      </c>
      <c r="AI970">
        <v>25</v>
      </c>
      <c r="AJ970">
        <v>0</v>
      </c>
      <c r="AK970">
        <v>2</v>
      </c>
      <c r="AL970" t="s">
        <v>13407</v>
      </c>
      <c r="AM970" t="s">
        <v>13408</v>
      </c>
      <c r="AN970" t="s">
        <v>13409</v>
      </c>
      <c r="AO970" t="s">
        <v>14810</v>
      </c>
      <c r="AP970" t="s">
        <v>14811</v>
      </c>
      <c r="AQ970" t="s">
        <v>74</v>
      </c>
      <c r="AR970" t="s">
        <v>14812</v>
      </c>
      <c r="AS970" t="s">
        <v>8353</v>
      </c>
      <c r="AT970" t="s">
        <v>74</v>
      </c>
      <c r="AU970">
        <v>2007</v>
      </c>
      <c r="AV970">
        <v>25</v>
      </c>
      <c r="AW970">
        <v>8</v>
      </c>
      <c r="AX970" t="s">
        <v>74</v>
      </c>
      <c r="AY970" t="s">
        <v>74</v>
      </c>
      <c r="AZ970" t="s">
        <v>74</v>
      </c>
      <c r="BA970" t="s">
        <v>74</v>
      </c>
      <c r="BB970">
        <v>1745</v>
      </c>
      <c r="BC970">
        <v>1757</v>
      </c>
      <c r="BD970" t="s">
        <v>74</v>
      </c>
      <c r="BE970" t="s">
        <v>14870</v>
      </c>
      <c r="BF970" t="str">
        <f>HYPERLINK("http://dx.doi.org/10.5194/angeo-25-1745-2007","http://dx.doi.org/10.5194/angeo-25-1745-2007")</f>
        <v>http://dx.doi.org/10.5194/angeo-25-1745-2007</v>
      </c>
      <c r="BG970" t="s">
        <v>74</v>
      </c>
      <c r="BH970" t="s">
        <v>74</v>
      </c>
      <c r="BI970">
        <v>13</v>
      </c>
      <c r="BJ970" t="s">
        <v>14814</v>
      </c>
      <c r="BK970" t="s">
        <v>98</v>
      </c>
      <c r="BL970" t="s">
        <v>14815</v>
      </c>
      <c r="BM970" t="s">
        <v>14871</v>
      </c>
      <c r="BN970" t="s">
        <v>74</v>
      </c>
      <c r="BO970" t="s">
        <v>14872</v>
      </c>
      <c r="BP970" t="s">
        <v>74</v>
      </c>
      <c r="BQ970" t="s">
        <v>74</v>
      </c>
      <c r="BR970" t="s">
        <v>101</v>
      </c>
      <c r="BS970" t="s">
        <v>14873</v>
      </c>
      <c r="BT970" t="str">
        <f>HYPERLINK("https%3A%2F%2Fwww.webofscience.com%2Fwos%2Fwoscc%2Ffull-record%2FWOS:000249979100004","View Full Record in Web of Science")</f>
        <v>View Full Record in Web of Science</v>
      </c>
    </row>
    <row r="971" spans="1:72" x14ac:dyDescent="0.15">
      <c r="A971" t="s">
        <v>72</v>
      </c>
      <c r="B971" t="s">
        <v>14874</v>
      </c>
      <c r="C971" t="s">
        <v>74</v>
      </c>
      <c r="D971" t="s">
        <v>74</v>
      </c>
      <c r="E971" t="s">
        <v>74</v>
      </c>
      <c r="F971" t="s">
        <v>14875</v>
      </c>
      <c r="G971" t="s">
        <v>74</v>
      </c>
      <c r="H971" t="s">
        <v>74</v>
      </c>
      <c r="I971" t="s">
        <v>14876</v>
      </c>
      <c r="J971" t="s">
        <v>14800</v>
      </c>
      <c r="K971" t="s">
        <v>74</v>
      </c>
      <c r="L971" t="s">
        <v>74</v>
      </c>
      <c r="M971" t="s">
        <v>78</v>
      </c>
      <c r="N971" t="s">
        <v>79</v>
      </c>
      <c r="O971" t="s">
        <v>74</v>
      </c>
      <c r="P971" t="s">
        <v>74</v>
      </c>
      <c r="Q971" t="s">
        <v>74</v>
      </c>
      <c r="R971" t="s">
        <v>74</v>
      </c>
      <c r="S971" t="s">
        <v>74</v>
      </c>
      <c r="T971" t="s">
        <v>14877</v>
      </c>
      <c r="U971" t="s">
        <v>14878</v>
      </c>
      <c r="V971" t="s">
        <v>14879</v>
      </c>
      <c r="W971" t="s">
        <v>14880</v>
      </c>
      <c r="X971" t="s">
        <v>207</v>
      </c>
      <c r="Y971" t="s">
        <v>14881</v>
      </c>
      <c r="Z971" t="s">
        <v>14882</v>
      </c>
      <c r="AA971" t="s">
        <v>74</v>
      </c>
      <c r="AB971" t="s">
        <v>74</v>
      </c>
      <c r="AC971" t="s">
        <v>74</v>
      </c>
      <c r="AD971" t="s">
        <v>74</v>
      </c>
      <c r="AE971" t="s">
        <v>74</v>
      </c>
      <c r="AF971" t="s">
        <v>74</v>
      </c>
      <c r="AG971">
        <v>26</v>
      </c>
      <c r="AH971">
        <v>3</v>
      </c>
      <c r="AI971">
        <v>4</v>
      </c>
      <c r="AJ971">
        <v>0</v>
      </c>
      <c r="AK971">
        <v>5</v>
      </c>
      <c r="AL971" t="s">
        <v>13407</v>
      </c>
      <c r="AM971" t="s">
        <v>13408</v>
      </c>
      <c r="AN971" t="s">
        <v>13409</v>
      </c>
      <c r="AO971" t="s">
        <v>14810</v>
      </c>
      <c r="AP971" t="s">
        <v>14811</v>
      </c>
      <c r="AQ971" t="s">
        <v>74</v>
      </c>
      <c r="AR971" t="s">
        <v>14812</v>
      </c>
      <c r="AS971" t="s">
        <v>8353</v>
      </c>
      <c r="AT971" t="s">
        <v>74</v>
      </c>
      <c r="AU971">
        <v>2007</v>
      </c>
      <c r="AV971">
        <v>25</v>
      </c>
      <c r="AW971">
        <v>10</v>
      </c>
      <c r="AX971" t="s">
        <v>74</v>
      </c>
      <c r="AY971" t="s">
        <v>74</v>
      </c>
      <c r="AZ971" t="s">
        <v>74</v>
      </c>
      <c r="BA971" t="s">
        <v>74</v>
      </c>
      <c r="BB971">
        <v>2147</v>
      </c>
      <c r="BC971">
        <v>2158</v>
      </c>
      <c r="BD971" t="s">
        <v>74</v>
      </c>
      <c r="BE971" t="s">
        <v>14883</v>
      </c>
      <c r="BF971" t="str">
        <f>HYPERLINK("http://dx.doi.org/10.5194/angeo-25-2147-2007","http://dx.doi.org/10.5194/angeo-25-2147-2007")</f>
        <v>http://dx.doi.org/10.5194/angeo-25-2147-2007</v>
      </c>
      <c r="BG971" t="s">
        <v>74</v>
      </c>
      <c r="BH971" t="s">
        <v>74</v>
      </c>
      <c r="BI971">
        <v>12</v>
      </c>
      <c r="BJ971" t="s">
        <v>14814</v>
      </c>
      <c r="BK971" t="s">
        <v>98</v>
      </c>
      <c r="BL971" t="s">
        <v>14815</v>
      </c>
      <c r="BM971" t="s">
        <v>14884</v>
      </c>
      <c r="BN971" t="s">
        <v>74</v>
      </c>
      <c r="BO971" t="s">
        <v>13275</v>
      </c>
      <c r="BP971" t="s">
        <v>74</v>
      </c>
      <c r="BQ971" t="s">
        <v>74</v>
      </c>
      <c r="BR971" t="s">
        <v>101</v>
      </c>
      <c r="BS971" t="s">
        <v>14885</v>
      </c>
      <c r="BT971" t="str">
        <f>HYPERLINK("https%3A%2F%2Fwww.webofscience.com%2Fwos%2Fwoscc%2Ffull-record%2FWOS:000251241800007","View Full Record in Web of Science")</f>
        <v>View Full Record in Web of Science</v>
      </c>
    </row>
    <row r="972" spans="1:72" x14ac:dyDescent="0.15">
      <c r="A972" t="s">
        <v>72</v>
      </c>
      <c r="B972" t="s">
        <v>14886</v>
      </c>
      <c r="C972" t="s">
        <v>74</v>
      </c>
      <c r="D972" t="s">
        <v>74</v>
      </c>
      <c r="E972" t="s">
        <v>74</v>
      </c>
      <c r="F972" t="s">
        <v>14887</v>
      </c>
      <c r="G972" t="s">
        <v>74</v>
      </c>
      <c r="H972" t="s">
        <v>74</v>
      </c>
      <c r="I972" t="s">
        <v>14888</v>
      </c>
      <c r="J972" t="s">
        <v>14800</v>
      </c>
      <c r="K972" t="s">
        <v>74</v>
      </c>
      <c r="L972" t="s">
        <v>74</v>
      </c>
      <c r="M972" t="s">
        <v>78</v>
      </c>
      <c r="N972" t="s">
        <v>79</v>
      </c>
      <c r="O972" t="s">
        <v>74</v>
      </c>
      <c r="P972" t="s">
        <v>74</v>
      </c>
      <c r="Q972" t="s">
        <v>74</v>
      </c>
      <c r="R972" t="s">
        <v>74</v>
      </c>
      <c r="S972" t="s">
        <v>74</v>
      </c>
      <c r="T972" t="s">
        <v>14889</v>
      </c>
      <c r="U972" t="s">
        <v>14890</v>
      </c>
      <c r="V972" t="s">
        <v>14891</v>
      </c>
      <c r="W972" t="s">
        <v>14892</v>
      </c>
      <c r="X972" t="s">
        <v>14893</v>
      </c>
      <c r="Y972" t="s">
        <v>14894</v>
      </c>
      <c r="Z972" t="s">
        <v>14895</v>
      </c>
      <c r="AA972" t="s">
        <v>14896</v>
      </c>
      <c r="AB972" t="s">
        <v>14869</v>
      </c>
      <c r="AC972" t="s">
        <v>74</v>
      </c>
      <c r="AD972" t="s">
        <v>74</v>
      </c>
      <c r="AE972" t="s">
        <v>74</v>
      </c>
      <c r="AF972" t="s">
        <v>74</v>
      </c>
      <c r="AG972">
        <v>43</v>
      </c>
      <c r="AH972">
        <v>24</v>
      </c>
      <c r="AI972">
        <v>24</v>
      </c>
      <c r="AJ972">
        <v>0</v>
      </c>
      <c r="AK972">
        <v>2</v>
      </c>
      <c r="AL972" t="s">
        <v>13407</v>
      </c>
      <c r="AM972" t="s">
        <v>13408</v>
      </c>
      <c r="AN972" t="s">
        <v>13409</v>
      </c>
      <c r="AO972" t="s">
        <v>14810</v>
      </c>
      <c r="AP972" t="s">
        <v>14811</v>
      </c>
      <c r="AQ972" t="s">
        <v>74</v>
      </c>
      <c r="AR972" t="s">
        <v>14812</v>
      </c>
      <c r="AS972" t="s">
        <v>8353</v>
      </c>
      <c r="AT972" t="s">
        <v>74</v>
      </c>
      <c r="AU972">
        <v>2007</v>
      </c>
      <c r="AV972">
        <v>25</v>
      </c>
      <c r="AW972">
        <v>10</v>
      </c>
      <c r="AX972" t="s">
        <v>74</v>
      </c>
      <c r="AY972" t="s">
        <v>74</v>
      </c>
      <c r="AZ972" t="s">
        <v>74</v>
      </c>
      <c r="BA972" t="s">
        <v>74</v>
      </c>
      <c r="BB972">
        <v>2203</v>
      </c>
      <c r="BC972">
        <v>2215</v>
      </c>
      <c r="BD972" t="s">
        <v>74</v>
      </c>
      <c r="BE972" t="s">
        <v>14897</v>
      </c>
      <c r="BF972" t="str">
        <f>HYPERLINK("http://dx.doi.org/10.5194/angeo-25-2203-2007","http://dx.doi.org/10.5194/angeo-25-2203-2007")</f>
        <v>http://dx.doi.org/10.5194/angeo-25-2203-2007</v>
      </c>
      <c r="BG972" t="s">
        <v>74</v>
      </c>
      <c r="BH972" t="s">
        <v>74</v>
      </c>
      <c r="BI972">
        <v>13</v>
      </c>
      <c r="BJ972" t="s">
        <v>14814</v>
      </c>
      <c r="BK972" t="s">
        <v>98</v>
      </c>
      <c r="BL972" t="s">
        <v>14815</v>
      </c>
      <c r="BM972" t="s">
        <v>14884</v>
      </c>
      <c r="BN972" t="s">
        <v>74</v>
      </c>
      <c r="BO972" t="s">
        <v>125</v>
      </c>
      <c r="BP972" t="s">
        <v>74</v>
      </c>
      <c r="BQ972" t="s">
        <v>74</v>
      </c>
      <c r="BR972" t="s">
        <v>101</v>
      </c>
      <c r="BS972" t="s">
        <v>14898</v>
      </c>
      <c r="BT972" t="str">
        <f>HYPERLINK("https%3A%2F%2Fwww.webofscience.com%2Fwos%2Fwoscc%2Ffull-record%2FWOS:000251241800013","View Full Record in Web of Science")</f>
        <v>View Full Record in Web of Science</v>
      </c>
    </row>
    <row r="973" spans="1:72" x14ac:dyDescent="0.15">
      <c r="A973" t="s">
        <v>72</v>
      </c>
      <c r="B973" t="s">
        <v>14899</v>
      </c>
      <c r="C973" t="s">
        <v>74</v>
      </c>
      <c r="D973" t="s">
        <v>74</v>
      </c>
      <c r="E973" t="s">
        <v>74</v>
      </c>
      <c r="F973" t="s">
        <v>14900</v>
      </c>
      <c r="G973" t="s">
        <v>74</v>
      </c>
      <c r="H973" t="s">
        <v>74</v>
      </c>
      <c r="I973" t="s">
        <v>14901</v>
      </c>
      <c r="J973" t="s">
        <v>14800</v>
      </c>
      <c r="K973" t="s">
        <v>74</v>
      </c>
      <c r="L973" t="s">
        <v>74</v>
      </c>
      <c r="M973" t="s">
        <v>78</v>
      </c>
      <c r="N973" t="s">
        <v>79</v>
      </c>
      <c r="O973" t="s">
        <v>74</v>
      </c>
      <c r="P973" t="s">
        <v>74</v>
      </c>
      <c r="Q973" t="s">
        <v>74</v>
      </c>
      <c r="R973" t="s">
        <v>74</v>
      </c>
      <c r="S973" t="s">
        <v>74</v>
      </c>
      <c r="T973" t="s">
        <v>14902</v>
      </c>
      <c r="U973" t="s">
        <v>14903</v>
      </c>
      <c r="V973" t="s">
        <v>14904</v>
      </c>
      <c r="W973" t="s">
        <v>14905</v>
      </c>
      <c r="X973" t="s">
        <v>14906</v>
      </c>
      <c r="Y973" t="s">
        <v>14907</v>
      </c>
      <c r="Z973" t="s">
        <v>14908</v>
      </c>
      <c r="AA973" t="s">
        <v>14909</v>
      </c>
      <c r="AB973" t="s">
        <v>14910</v>
      </c>
      <c r="AC973" t="s">
        <v>74</v>
      </c>
      <c r="AD973" t="s">
        <v>74</v>
      </c>
      <c r="AE973" t="s">
        <v>74</v>
      </c>
      <c r="AF973" t="s">
        <v>74</v>
      </c>
      <c r="AG973">
        <v>33</v>
      </c>
      <c r="AH973">
        <v>6</v>
      </c>
      <c r="AI973">
        <v>7</v>
      </c>
      <c r="AJ973">
        <v>0</v>
      </c>
      <c r="AK973">
        <v>1</v>
      </c>
      <c r="AL973" t="s">
        <v>13407</v>
      </c>
      <c r="AM973" t="s">
        <v>13408</v>
      </c>
      <c r="AN973" t="s">
        <v>13409</v>
      </c>
      <c r="AO973" t="s">
        <v>14810</v>
      </c>
      <c r="AP973" t="s">
        <v>14811</v>
      </c>
      <c r="AQ973" t="s">
        <v>74</v>
      </c>
      <c r="AR973" t="s">
        <v>14812</v>
      </c>
      <c r="AS973" t="s">
        <v>8353</v>
      </c>
      <c r="AT973" t="s">
        <v>74</v>
      </c>
      <c r="AU973">
        <v>2007</v>
      </c>
      <c r="AV973">
        <v>25</v>
      </c>
      <c r="AW973">
        <v>11</v>
      </c>
      <c r="AX973" t="s">
        <v>74</v>
      </c>
      <c r="AY973" t="s">
        <v>74</v>
      </c>
      <c r="AZ973" t="s">
        <v>74</v>
      </c>
      <c r="BA973" t="s">
        <v>74</v>
      </c>
      <c r="BB973">
        <v>2405</v>
      </c>
      <c r="BC973">
        <v>2412</v>
      </c>
      <c r="BD973" t="s">
        <v>74</v>
      </c>
      <c r="BE973" t="s">
        <v>14911</v>
      </c>
      <c r="BF973" t="str">
        <f>HYPERLINK("http://dx.doi.org/10.5194/angeo-25-2405-2007","http://dx.doi.org/10.5194/angeo-25-2405-2007")</f>
        <v>http://dx.doi.org/10.5194/angeo-25-2405-2007</v>
      </c>
      <c r="BG973" t="s">
        <v>74</v>
      </c>
      <c r="BH973" t="s">
        <v>74</v>
      </c>
      <c r="BI973">
        <v>8</v>
      </c>
      <c r="BJ973" t="s">
        <v>14814</v>
      </c>
      <c r="BK973" t="s">
        <v>98</v>
      </c>
      <c r="BL973" t="s">
        <v>14815</v>
      </c>
      <c r="BM973" t="s">
        <v>14912</v>
      </c>
      <c r="BN973" t="s">
        <v>74</v>
      </c>
      <c r="BO973" t="s">
        <v>125</v>
      </c>
      <c r="BP973" t="s">
        <v>74</v>
      </c>
      <c r="BQ973" t="s">
        <v>74</v>
      </c>
      <c r="BR973" t="s">
        <v>101</v>
      </c>
      <c r="BS973" t="s">
        <v>14913</v>
      </c>
      <c r="BT973" t="str">
        <f>HYPERLINK("https%3A%2F%2Fwww.webofscience.com%2Fwos%2Fwoscc%2Ffull-record%2FWOS:000251998900012","View Full Record in Web of Science")</f>
        <v>View Full Record in Web of Science</v>
      </c>
    </row>
    <row r="974" spans="1:72" x14ac:dyDescent="0.15">
      <c r="A974" t="s">
        <v>72</v>
      </c>
      <c r="B974" t="s">
        <v>14914</v>
      </c>
      <c r="C974" t="s">
        <v>74</v>
      </c>
      <c r="D974" t="s">
        <v>74</v>
      </c>
      <c r="E974" t="s">
        <v>74</v>
      </c>
      <c r="F974" t="s">
        <v>14915</v>
      </c>
      <c r="G974" t="s">
        <v>74</v>
      </c>
      <c r="H974" t="s">
        <v>74</v>
      </c>
      <c r="I974" t="s">
        <v>14916</v>
      </c>
      <c r="J974" t="s">
        <v>14800</v>
      </c>
      <c r="K974" t="s">
        <v>74</v>
      </c>
      <c r="L974" t="s">
        <v>74</v>
      </c>
      <c r="M974" t="s">
        <v>78</v>
      </c>
      <c r="N974" t="s">
        <v>79</v>
      </c>
      <c r="O974" t="s">
        <v>74</v>
      </c>
      <c r="P974" t="s">
        <v>74</v>
      </c>
      <c r="Q974" t="s">
        <v>74</v>
      </c>
      <c r="R974" t="s">
        <v>74</v>
      </c>
      <c r="S974" t="s">
        <v>74</v>
      </c>
      <c r="T974" t="s">
        <v>14917</v>
      </c>
      <c r="U974" t="s">
        <v>14918</v>
      </c>
      <c r="V974" t="s">
        <v>14919</v>
      </c>
      <c r="W974" t="s">
        <v>14920</v>
      </c>
      <c r="X974" t="s">
        <v>14921</v>
      </c>
      <c r="Y974" t="s">
        <v>14922</v>
      </c>
      <c r="Z974" t="s">
        <v>8082</v>
      </c>
      <c r="AA974" t="s">
        <v>14923</v>
      </c>
      <c r="AB974" t="s">
        <v>8084</v>
      </c>
      <c r="AC974" t="s">
        <v>14924</v>
      </c>
      <c r="AD974" t="s">
        <v>361</v>
      </c>
      <c r="AE974" t="s">
        <v>74</v>
      </c>
      <c r="AF974" t="s">
        <v>74</v>
      </c>
      <c r="AG974">
        <v>45</v>
      </c>
      <c r="AH974">
        <v>10</v>
      </c>
      <c r="AI974">
        <v>10</v>
      </c>
      <c r="AJ974">
        <v>0</v>
      </c>
      <c r="AK974">
        <v>2</v>
      </c>
      <c r="AL974" t="s">
        <v>13266</v>
      </c>
      <c r="AM974" t="s">
        <v>13267</v>
      </c>
      <c r="AN974" t="s">
        <v>13268</v>
      </c>
      <c r="AO974" t="s">
        <v>14810</v>
      </c>
      <c r="AP974" t="s">
        <v>74</v>
      </c>
      <c r="AQ974" t="s">
        <v>74</v>
      </c>
      <c r="AR974" t="s">
        <v>14812</v>
      </c>
      <c r="AS974" t="s">
        <v>8353</v>
      </c>
      <c r="AT974" t="s">
        <v>74</v>
      </c>
      <c r="AU974">
        <v>2007</v>
      </c>
      <c r="AV974">
        <v>25</v>
      </c>
      <c r="AW974">
        <v>11</v>
      </c>
      <c r="AX974" t="s">
        <v>74</v>
      </c>
      <c r="AY974" t="s">
        <v>74</v>
      </c>
      <c r="AZ974" t="s">
        <v>74</v>
      </c>
      <c r="BA974" t="s">
        <v>74</v>
      </c>
      <c r="BB974">
        <v>2427</v>
      </c>
      <c r="BC974">
        <v>2437</v>
      </c>
      <c r="BD974" t="s">
        <v>74</v>
      </c>
      <c r="BE974" t="s">
        <v>14925</v>
      </c>
      <c r="BF974" t="str">
        <f>HYPERLINK("http://dx.doi.org/10.5194/angeo-25-2427-2007","http://dx.doi.org/10.5194/angeo-25-2427-2007")</f>
        <v>http://dx.doi.org/10.5194/angeo-25-2427-2007</v>
      </c>
      <c r="BG974" t="s">
        <v>74</v>
      </c>
      <c r="BH974" t="s">
        <v>74</v>
      </c>
      <c r="BI974">
        <v>11</v>
      </c>
      <c r="BJ974" t="s">
        <v>14814</v>
      </c>
      <c r="BK974" t="s">
        <v>98</v>
      </c>
      <c r="BL974" t="s">
        <v>14815</v>
      </c>
      <c r="BM974" t="s">
        <v>14912</v>
      </c>
      <c r="BN974" t="s">
        <v>74</v>
      </c>
      <c r="BO974" t="s">
        <v>14872</v>
      </c>
      <c r="BP974" t="s">
        <v>74</v>
      </c>
      <c r="BQ974" t="s">
        <v>74</v>
      </c>
      <c r="BR974" t="s">
        <v>101</v>
      </c>
      <c r="BS974" t="s">
        <v>14926</v>
      </c>
      <c r="BT974" t="str">
        <f>HYPERLINK("https%3A%2F%2Fwww.webofscience.com%2Fwos%2Fwoscc%2Ffull-record%2FWOS:000251998900014","View Full Record in Web of Science")</f>
        <v>View Full Record in Web of Science</v>
      </c>
    </row>
    <row r="975" spans="1:72" x14ac:dyDescent="0.15">
      <c r="A975" t="s">
        <v>5932</v>
      </c>
      <c r="B975" t="s">
        <v>14927</v>
      </c>
      <c r="C975" t="s">
        <v>74</v>
      </c>
      <c r="D975" t="s">
        <v>14928</v>
      </c>
      <c r="E975" t="s">
        <v>74</v>
      </c>
      <c r="F975" t="s">
        <v>14929</v>
      </c>
      <c r="G975" t="s">
        <v>74</v>
      </c>
      <c r="H975" t="s">
        <v>74</v>
      </c>
      <c r="I975" t="s">
        <v>14930</v>
      </c>
      <c r="J975" t="s">
        <v>14931</v>
      </c>
      <c r="K975" t="s">
        <v>14932</v>
      </c>
      <c r="L975" t="s">
        <v>74</v>
      </c>
      <c r="M975" t="s">
        <v>78</v>
      </c>
      <c r="N975" t="s">
        <v>5938</v>
      </c>
      <c r="O975" t="s">
        <v>14933</v>
      </c>
      <c r="P975" t="s">
        <v>14934</v>
      </c>
      <c r="Q975" t="s">
        <v>14935</v>
      </c>
      <c r="R975" t="s">
        <v>74</v>
      </c>
      <c r="S975" t="s">
        <v>14936</v>
      </c>
      <c r="T975" t="s">
        <v>74</v>
      </c>
      <c r="U975" t="s">
        <v>74</v>
      </c>
      <c r="V975" t="s">
        <v>14937</v>
      </c>
      <c r="W975" t="s">
        <v>14938</v>
      </c>
      <c r="X975" t="s">
        <v>13985</v>
      </c>
      <c r="Y975" t="s">
        <v>14939</v>
      </c>
      <c r="Z975" t="s">
        <v>14940</v>
      </c>
      <c r="AA975" t="s">
        <v>14941</v>
      </c>
      <c r="AB975" t="s">
        <v>74</v>
      </c>
      <c r="AC975" t="s">
        <v>14942</v>
      </c>
      <c r="AD975" t="s">
        <v>14942</v>
      </c>
      <c r="AE975" t="s">
        <v>14943</v>
      </c>
      <c r="AF975" t="s">
        <v>74</v>
      </c>
      <c r="AG975">
        <v>15</v>
      </c>
      <c r="AH975">
        <v>23</v>
      </c>
      <c r="AI975">
        <v>24</v>
      </c>
      <c r="AJ975">
        <v>0</v>
      </c>
      <c r="AK975">
        <v>8</v>
      </c>
      <c r="AL975" t="s">
        <v>14944</v>
      </c>
      <c r="AM975" t="s">
        <v>788</v>
      </c>
      <c r="AN975" t="s">
        <v>14945</v>
      </c>
      <c r="AO975" t="s">
        <v>14946</v>
      </c>
      <c r="AP975" t="s">
        <v>74</v>
      </c>
      <c r="AQ975" t="s">
        <v>14947</v>
      </c>
      <c r="AR975" t="s">
        <v>14948</v>
      </c>
      <c r="AS975" t="s">
        <v>74</v>
      </c>
      <c r="AT975" t="s">
        <v>74</v>
      </c>
      <c r="AU975">
        <v>2007</v>
      </c>
      <c r="AV975">
        <v>45</v>
      </c>
      <c r="AW975" t="s">
        <v>74</v>
      </c>
      <c r="AX975" t="s">
        <v>74</v>
      </c>
      <c r="AY975" t="s">
        <v>74</v>
      </c>
      <c r="AZ975" t="s">
        <v>74</v>
      </c>
      <c r="BA975" t="s">
        <v>74</v>
      </c>
      <c r="BB975">
        <v>163</v>
      </c>
      <c r="BC975" t="s">
        <v>5541</v>
      </c>
      <c r="BD975" t="s">
        <v>74</v>
      </c>
      <c r="BE975" t="s">
        <v>14949</v>
      </c>
      <c r="BF975" t="str">
        <f>HYPERLINK("http://dx.doi.org/10.3189/172756407782282561","http://dx.doi.org/10.3189/172756407782282561")</f>
        <v>http://dx.doi.org/10.3189/172756407782282561</v>
      </c>
      <c r="BG975" t="s">
        <v>74</v>
      </c>
      <c r="BH975" t="s">
        <v>74</v>
      </c>
      <c r="BI975">
        <v>2</v>
      </c>
      <c r="BJ975" t="s">
        <v>14950</v>
      </c>
      <c r="BK975" t="s">
        <v>5953</v>
      </c>
      <c r="BL975" t="s">
        <v>8264</v>
      </c>
      <c r="BM975" t="s">
        <v>14951</v>
      </c>
      <c r="BN975" t="s">
        <v>74</v>
      </c>
      <c r="BO975" t="s">
        <v>797</v>
      </c>
      <c r="BP975" t="s">
        <v>74</v>
      </c>
      <c r="BQ975" t="s">
        <v>74</v>
      </c>
      <c r="BR975" t="s">
        <v>101</v>
      </c>
      <c r="BS975" t="s">
        <v>14952</v>
      </c>
      <c r="BT975" t="str">
        <f>HYPERLINK("https%3A%2F%2Fwww.webofscience.com%2Fwos%2Fwoscc%2Ffull-record%2FWOS:000250427700019","View Full Record in Web of Science")</f>
        <v>View Full Record in Web of Science</v>
      </c>
    </row>
    <row r="976" spans="1:72" x14ac:dyDescent="0.15">
      <c r="A976" t="s">
        <v>5932</v>
      </c>
      <c r="B976" t="s">
        <v>14953</v>
      </c>
      <c r="C976" t="s">
        <v>74</v>
      </c>
      <c r="D976" t="s">
        <v>14954</v>
      </c>
      <c r="E976" t="s">
        <v>74</v>
      </c>
      <c r="F976" t="s">
        <v>14955</v>
      </c>
      <c r="G976" t="s">
        <v>74</v>
      </c>
      <c r="H976" t="s">
        <v>74</v>
      </c>
      <c r="I976" t="s">
        <v>14956</v>
      </c>
      <c r="J976" t="s">
        <v>14957</v>
      </c>
      <c r="K976" t="s">
        <v>14932</v>
      </c>
      <c r="L976" t="s">
        <v>74</v>
      </c>
      <c r="M976" t="s">
        <v>78</v>
      </c>
      <c r="N976" t="s">
        <v>5938</v>
      </c>
      <c r="O976" t="s">
        <v>14958</v>
      </c>
      <c r="P976" t="s">
        <v>14959</v>
      </c>
      <c r="Q976" t="s">
        <v>14960</v>
      </c>
      <c r="R976" t="s">
        <v>74</v>
      </c>
      <c r="S976" t="s">
        <v>74</v>
      </c>
      <c r="T976" t="s">
        <v>74</v>
      </c>
      <c r="U976" t="s">
        <v>14961</v>
      </c>
      <c r="V976" t="s">
        <v>14962</v>
      </c>
      <c r="W976" t="s">
        <v>14963</v>
      </c>
      <c r="X976" t="s">
        <v>10070</v>
      </c>
      <c r="Y976" t="s">
        <v>9469</v>
      </c>
      <c r="Z976" t="s">
        <v>9470</v>
      </c>
      <c r="AA976" t="s">
        <v>14964</v>
      </c>
      <c r="AB976" t="s">
        <v>14965</v>
      </c>
      <c r="AC976" t="s">
        <v>14966</v>
      </c>
      <c r="AD976" t="s">
        <v>14967</v>
      </c>
      <c r="AE976" t="s">
        <v>14968</v>
      </c>
      <c r="AF976" t="s">
        <v>74</v>
      </c>
      <c r="AG976">
        <v>50</v>
      </c>
      <c r="AH976">
        <v>0</v>
      </c>
      <c r="AI976">
        <v>1</v>
      </c>
      <c r="AJ976">
        <v>0</v>
      </c>
      <c r="AK976">
        <v>17</v>
      </c>
      <c r="AL976" t="s">
        <v>14944</v>
      </c>
      <c r="AM976" t="s">
        <v>788</v>
      </c>
      <c r="AN976" t="s">
        <v>14945</v>
      </c>
      <c r="AO976" t="s">
        <v>14946</v>
      </c>
      <c r="AP976" t="s">
        <v>74</v>
      </c>
      <c r="AQ976" t="s">
        <v>14969</v>
      </c>
      <c r="AR976" t="s">
        <v>14948</v>
      </c>
      <c r="AS976" t="s">
        <v>74</v>
      </c>
      <c r="AT976" t="s">
        <v>74</v>
      </c>
      <c r="AU976">
        <v>2007</v>
      </c>
      <c r="AV976">
        <v>46</v>
      </c>
      <c r="AW976" t="s">
        <v>74</v>
      </c>
      <c r="AX976" t="s">
        <v>74</v>
      </c>
      <c r="AY976" t="s">
        <v>74</v>
      </c>
      <c r="AZ976" t="s">
        <v>74</v>
      </c>
      <c r="BA976" t="s">
        <v>74</v>
      </c>
      <c r="BB976">
        <v>1</v>
      </c>
      <c r="BC976" t="s">
        <v>5541</v>
      </c>
      <c r="BD976" t="s">
        <v>74</v>
      </c>
      <c r="BE976" t="s">
        <v>14970</v>
      </c>
      <c r="BF976" t="str">
        <f>HYPERLINK("http://dx.doi.org/10.3189/172756407782871738","http://dx.doi.org/10.3189/172756407782871738")</f>
        <v>http://dx.doi.org/10.3189/172756407782871738</v>
      </c>
      <c r="BG976" t="s">
        <v>74</v>
      </c>
      <c r="BH976" t="s">
        <v>74</v>
      </c>
      <c r="BI976">
        <v>3</v>
      </c>
      <c r="BJ976" t="s">
        <v>195</v>
      </c>
      <c r="BK976" t="s">
        <v>5953</v>
      </c>
      <c r="BL976" t="s">
        <v>196</v>
      </c>
      <c r="BM976" t="s">
        <v>14971</v>
      </c>
      <c r="BN976" t="s">
        <v>74</v>
      </c>
      <c r="BO976" t="s">
        <v>154</v>
      </c>
      <c r="BP976" t="s">
        <v>74</v>
      </c>
      <c r="BQ976" t="s">
        <v>74</v>
      </c>
      <c r="BR976" t="s">
        <v>101</v>
      </c>
      <c r="BS976" t="s">
        <v>14972</v>
      </c>
      <c r="BT976" t="str">
        <f>HYPERLINK("https%3A%2F%2Fwww.webofscience.com%2Fwos%2Fwoscc%2Ffull-record%2FWOS:000250954200001","View Full Record in Web of Science")</f>
        <v>View Full Record in Web of Science</v>
      </c>
    </row>
    <row r="977" spans="1:72" x14ac:dyDescent="0.15">
      <c r="A977" t="s">
        <v>5932</v>
      </c>
      <c r="B977" t="s">
        <v>14973</v>
      </c>
      <c r="C977" t="s">
        <v>74</v>
      </c>
      <c r="D977" t="s">
        <v>14954</v>
      </c>
      <c r="E977" t="s">
        <v>74</v>
      </c>
      <c r="F977" t="s">
        <v>14974</v>
      </c>
      <c r="G977" t="s">
        <v>74</v>
      </c>
      <c r="H977" t="s">
        <v>74</v>
      </c>
      <c r="I977" t="s">
        <v>14975</v>
      </c>
      <c r="J977" t="s">
        <v>14957</v>
      </c>
      <c r="K977" t="s">
        <v>14932</v>
      </c>
      <c r="L977" t="s">
        <v>74</v>
      </c>
      <c r="M977" t="s">
        <v>78</v>
      </c>
      <c r="N977" t="s">
        <v>5938</v>
      </c>
      <c r="O977" t="s">
        <v>14958</v>
      </c>
      <c r="P977" t="s">
        <v>14959</v>
      </c>
      <c r="Q977" t="s">
        <v>14960</v>
      </c>
      <c r="R977" t="s">
        <v>74</v>
      </c>
      <c r="S977" t="s">
        <v>74</v>
      </c>
      <c r="T977" t="s">
        <v>74</v>
      </c>
      <c r="U977" t="s">
        <v>14976</v>
      </c>
      <c r="V977" t="s">
        <v>14977</v>
      </c>
      <c r="W977" t="s">
        <v>14978</v>
      </c>
      <c r="X977" t="s">
        <v>14979</v>
      </c>
      <c r="Y977" t="s">
        <v>14980</v>
      </c>
      <c r="Z977" t="s">
        <v>14981</v>
      </c>
      <c r="AA977" t="s">
        <v>74</v>
      </c>
      <c r="AB977" t="s">
        <v>74</v>
      </c>
      <c r="AC977" t="s">
        <v>74</v>
      </c>
      <c r="AD977" t="s">
        <v>74</v>
      </c>
      <c r="AE977" t="s">
        <v>74</v>
      </c>
      <c r="AF977" t="s">
        <v>74</v>
      </c>
      <c r="AG977">
        <v>18</v>
      </c>
      <c r="AH977">
        <v>21</v>
      </c>
      <c r="AI977">
        <v>23</v>
      </c>
      <c r="AJ977">
        <v>1</v>
      </c>
      <c r="AK977">
        <v>9</v>
      </c>
      <c r="AL977" t="s">
        <v>14944</v>
      </c>
      <c r="AM977" t="s">
        <v>788</v>
      </c>
      <c r="AN977" t="s">
        <v>14945</v>
      </c>
      <c r="AO977" t="s">
        <v>14946</v>
      </c>
      <c r="AP977" t="s">
        <v>74</v>
      </c>
      <c r="AQ977" t="s">
        <v>14969</v>
      </c>
      <c r="AR977" t="s">
        <v>14948</v>
      </c>
      <c r="AS977" t="s">
        <v>74</v>
      </c>
      <c r="AT977" t="s">
        <v>74</v>
      </c>
      <c r="AU977">
        <v>2007</v>
      </c>
      <c r="AV977">
        <v>46</v>
      </c>
      <c r="AW977" t="s">
        <v>74</v>
      </c>
      <c r="AX977" t="s">
        <v>74</v>
      </c>
      <c r="AY977" t="s">
        <v>74</v>
      </c>
      <c r="AZ977" t="s">
        <v>74</v>
      </c>
      <c r="BA977" t="s">
        <v>74</v>
      </c>
      <c r="BB977">
        <v>8</v>
      </c>
      <c r="BC977" t="s">
        <v>5541</v>
      </c>
      <c r="BD977" t="s">
        <v>74</v>
      </c>
      <c r="BE977" t="s">
        <v>14982</v>
      </c>
      <c r="BF977" t="str">
        <f>HYPERLINK("http://dx.doi.org/10.3189/172756407782871486","http://dx.doi.org/10.3189/172756407782871486")</f>
        <v>http://dx.doi.org/10.3189/172756407782871486</v>
      </c>
      <c r="BG977" t="s">
        <v>74</v>
      </c>
      <c r="BH977" t="s">
        <v>74</v>
      </c>
      <c r="BI977">
        <v>2</v>
      </c>
      <c r="BJ977" t="s">
        <v>195</v>
      </c>
      <c r="BK977" t="s">
        <v>5953</v>
      </c>
      <c r="BL977" t="s">
        <v>196</v>
      </c>
      <c r="BM977" t="s">
        <v>14971</v>
      </c>
      <c r="BN977" t="s">
        <v>74</v>
      </c>
      <c r="BO977" t="s">
        <v>154</v>
      </c>
      <c r="BP977" t="s">
        <v>74</v>
      </c>
      <c r="BQ977" t="s">
        <v>74</v>
      </c>
      <c r="BR977" t="s">
        <v>101</v>
      </c>
      <c r="BS977" t="s">
        <v>14983</v>
      </c>
      <c r="BT977" t="str">
        <f>HYPERLINK("https%3A%2F%2Fwww.webofscience.com%2Fwos%2Fwoscc%2Ffull-record%2FWOS:000250954200002","View Full Record in Web of Science")</f>
        <v>View Full Record in Web of Science</v>
      </c>
    </row>
    <row r="978" spans="1:72" x14ac:dyDescent="0.15">
      <c r="A978" t="s">
        <v>5932</v>
      </c>
      <c r="B978" t="s">
        <v>14984</v>
      </c>
      <c r="C978" t="s">
        <v>74</v>
      </c>
      <c r="D978" t="s">
        <v>14954</v>
      </c>
      <c r="E978" t="s">
        <v>74</v>
      </c>
      <c r="F978" t="s">
        <v>14985</v>
      </c>
      <c r="G978" t="s">
        <v>74</v>
      </c>
      <c r="H978" t="s">
        <v>74</v>
      </c>
      <c r="I978" t="s">
        <v>14986</v>
      </c>
      <c r="J978" t="s">
        <v>14957</v>
      </c>
      <c r="K978" t="s">
        <v>14932</v>
      </c>
      <c r="L978" t="s">
        <v>74</v>
      </c>
      <c r="M978" t="s">
        <v>78</v>
      </c>
      <c r="N978" t="s">
        <v>5938</v>
      </c>
      <c r="O978" t="s">
        <v>14958</v>
      </c>
      <c r="P978" t="s">
        <v>14959</v>
      </c>
      <c r="Q978" t="s">
        <v>14960</v>
      </c>
      <c r="R978" t="s">
        <v>74</v>
      </c>
      <c r="S978" t="s">
        <v>74</v>
      </c>
      <c r="T978" t="s">
        <v>74</v>
      </c>
      <c r="U978" t="s">
        <v>14987</v>
      </c>
      <c r="V978" t="s">
        <v>14988</v>
      </c>
      <c r="W978" t="s">
        <v>14989</v>
      </c>
      <c r="X978" t="s">
        <v>14990</v>
      </c>
      <c r="Y978" t="s">
        <v>14991</v>
      </c>
      <c r="Z978" t="s">
        <v>14992</v>
      </c>
      <c r="AA978" t="s">
        <v>14993</v>
      </c>
      <c r="AB978" t="s">
        <v>14994</v>
      </c>
      <c r="AC978" t="s">
        <v>14995</v>
      </c>
      <c r="AD978" t="s">
        <v>14996</v>
      </c>
      <c r="AE978" t="s">
        <v>14997</v>
      </c>
      <c r="AF978" t="s">
        <v>74</v>
      </c>
      <c r="AG978">
        <v>23</v>
      </c>
      <c r="AH978">
        <v>37</v>
      </c>
      <c r="AI978">
        <v>42</v>
      </c>
      <c r="AJ978">
        <v>0</v>
      </c>
      <c r="AK978">
        <v>6</v>
      </c>
      <c r="AL978" t="s">
        <v>14944</v>
      </c>
      <c r="AM978" t="s">
        <v>788</v>
      </c>
      <c r="AN978" t="s">
        <v>14945</v>
      </c>
      <c r="AO978" t="s">
        <v>14946</v>
      </c>
      <c r="AP978" t="s">
        <v>74</v>
      </c>
      <c r="AQ978" t="s">
        <v>14969</v>
      </c>
      <c r="AR978" t="s">
        <v>14948</v>
      </c>
      <c r="AS978" t="s">
        <v>74</v>
      </c>
      <c r="AT978" t="s">
        <v>74</v>
      </c>
      <c r="AU978">
        <v>2007</v>
      </c>
      <c r="AV978">
        <v>46</v>
      </c>
      <c r="AW978" t="s">
        <v>74</v>
      </c>
      <c r="AX978" t="s">
        <v>74</v>
      </c>
      <c r="AY978" t="s">
        <v>74</v>
      </c>
      <c r="AZ978" t="s">
        <v>74</v>
      </c>
      <c r="BA978" t="s">
        <v>74</v>
      </c>
      <c r="BB978">
        <v>22</v>
      </c>
      <c r="BC978" t="s">
        <v>5541</v>
      </c>
      <c r="BD978" t="s">
        <v>74</v>
      </c>
      <c r="BE978" t="s">
        <v>14998</v>
      </c>
      <c r="BF978" t="str">
        <f>HYPERLINK("http://dx.doi.org/10.3189/172756407782871729","http://dx.doi.org/10.3189/172756407782871729")</f>
        <v>http://dx.doi.org/10.3189/172756407782871729</v>
      </c>
      <c r="BG978" t="s">
        <v>74</v>
      </c>
      <c r="BH978" t="s">
        <v>74</v>
      </c>
      <c r="BI978">
        <v>2</v>
      </c>
      <c r="BJ978" t="s">
        <v>195</v>
      </c>
      <c r="BK978" t="s">
        <v>5953</v>
      </c>
      <c r="BL978" t="s">
        <v>196</v>
      </c>
      <c r="BM978" t="s">
        <v>14971</v>
      </c>
      <c r="BN978" t="s">
        <v>74</v>
      </c>
      <c r="BO978" t="s">
        <v>14999</v>
      </c>
      <c r="BP978" t="s">
        <v>74</v>
      </c>
      <c r="BQ978" t="s">
        <v>74</v>
      </c>
      <c r="BR978" t="s">
        <v>101</v>
      </c>
      <c r="BS978" t="s">
        <v>15000</v>
      </c>
      <c r="BT978" t="str">
        <f>HYPERLINK("https%3A%2F%2Fwww.webofscience.com%2Fwos%2Fwoscc%2Ffull-record%2FWOS:000250954200004","View Full Record in Web of Science")</f>
        <v>View Full Record in Web of Science</v>
      </c>
    </row>
    <row r="979" spans="1:72" x14ac:dyDescent="0.15">
      <c r="A979" t="s">
        <v>5932</v>
      </c>
      <c r="B979" t="s">
        <v>15001</v>
      </c>
      <c r="C979" t="s">
        <v>74</v>
      </c>
      <c r="D979" t="s">
        <v>14954</v>
      </c>
      <c r="E979" t="s">
        <v>74</v>
      </c>
      <c r="F979" t="s">
        <v>15002</v>
      </c>
      <c r="G979" t="s">
        <v>74</v>
      </c>
      <c r="H979" t="s">
        <v>74</v>
      </c>
      <c r="I979" t="s">
        <v>15003</v>
      </c>
      <c r="J979" t="s">
        <v>14957</v>
      </c>
      <c r="K979" t="s">
        <v>14932</v>
      </c>
      <c r="L979" t="s">
        <v>74</v>
      </c>
      <c r="M979" t="s">
        <v>78</v>
      </c>
      <c r="N979" t="s">
        <v>5938</v>
      </c>
      <c r="O979" t="s">
        <v>14958</v>
      </c>
      <c r="P979" t="s">
        <v>14959</v>
      </c>
      <c r="Q979" t="s">
        <v>14960</v>
      </c>
      <c r="R979" t="s">
        <v>74</v>
      </c>
      <c r="S979" t="s">
        <v>74</v>
      </c>
      <c r="T979" t="s">
        <v>74</v>
      </c>
      <c r="U979" t="s">
        <v>15004</v>
      </c>
      <c r="V979" t="s">
        <v>15005</v>
      </c>
      <c r="W979" t="s">
        <v>15006</v>
      </c>
      <c r="X979" t="s">
        <v>15007</v>
      </c>
      <c r="Y979" t="s">
        <v>15008</v>
      </c>
      <c r="Z979" t="s">
        <v>15009</v>
      </c>
      <c r="AA979" t="s">
        <v>15010</v>
      </c>
      <c r="AB979" t="s">
        <v>15011</v>
      </c>
      <c r="AC979" t="s">
        <v>74</v>
      </c>
      <c r="AD979" t="s">
        <v>74</v>
      </c>
      <c r="AE979" t="s">
        <v>74</v>
      </c>
      <c r="AF979" t="s">
        <v>74</v>
      </c>
      <c r="AG979">
        <v>25</v>
      </c>
      <c r="AH979">
        <v>55</v>
      </c>
      <c r="AI979">
        <v>59</v>
      </c>
      <c r="AJ979">
        <v>0</v>
      </c>
      <c r="AK979">
        <v>10</v>
      </c>
      <c r="AL979" t="s">
        <v>14944</v>
      </c>
      <c r="AM979" t="s">
        <v>788</v>
      </c>
      <c r="AN979" t="s">
        <v>14945</v>
      </c>
      <c r="AO979" t="s">
        <v>14946</v>
      </c>
      <c r="AP979" t="s">
        <v>74</v>
      </c>
      <c r="AQ979" t="s">
        <v>14969</v>
      </c>
      <c r="AR979" t="s">
        <v>14948</v>
      </c>
      <c r="AS979" t="s">
        <v>74</v>
      </c>
      <c r="AT979" t="s">
        <v>74</v>
      </c>
      <c r="AU979">
        <v>2007</v>
      </c>
      <c r="AV979">
        <v>46</v>
      </c>
      <c r="AW979" t="s">
        <v>74</v>
      </c>
      <c r="AX979" t="s">
        <v>74</v>
      </c>
      <c r="AY979" t="s">
        <v>74</v>
      </c>
      <c r="AZ979" t="s">
        <v>74</v>
      </c>
      <c r="BA979" t="s">
        <v>74</v>
      </c>
      <c r="BB979">
        <v>29</v>
      </c>
      <c r="BC979" t="s">
        <v>5541</v>
      </c>
      <c r="BD979" t="s">
        <v>74</v>
      </c>
      <c r="BE979" t="s">
        <v>15012</v>
      </c>
      <c r="BF979" t="str">
        <f>HYPERLINK("http://dx.doi.org/10.3189/172756407782871684","http://dx.doi.org/10.3189/172756407782871684")</f>
        <v>http://dx.doi.org/10.3189/172756407782871684</v>
      </c>
      <c r="BG979" t="s">
        <v>74</v>
      </c>
      <c r="BH979" t="s">
        <v>74</v>
      </c>
      <c r="BI979">
        <v>2</v>
      </c>
      <c r="BJ979" t="s">
        <v>195</v>
      </c>
      <c r="BK979" t="s">
        <v>5953</v>
      </c>
      <c r="BL979" t="s">
        <v>196</v>
      </c>
      <c r="BM979" t="s">
        <v>14971</v>
      </c>
      <c r="BN979" t="s">
        <v>74</v>
      </c>
      <c r="BO979" t="s">
        <v>1289</v>
      </c>
      <c r="BP979" t="s">
        <v>74</v>
      </c>
      <c r="BQ979" t="s">
        <v>74</v>
      </c>
      <c r="BR979" t="s">
        <v>101</v>
      </c>
      <c r="BS979" t="s">
        <v>15013</v>
      </c>
      <c r="BT979" t="str">
        <f>HYPERLINK("https%3A%2F%2Fwww.webofscience.com%2Fwos%2Fwoscc%2Ffull-record%2FWOS:000250954200005","View Full Record in Web of Science")</f>
        <v>View Full Record in Web of Science</v>
      </c>
    </row>
    <row r="980" spans="1:72" x14ac:dyDescent="0.15">
      <c r="A980" t="s">
        <v>5932</v>
      </c>
      <c r="B980" t="s">
        <v>15014</v>
      </c>
      <c r="C980" t="s">
        <v>74</v>
      </c>
      <c r="D980" t="s">
        <v>14954</v>
      </c>
      <c r="E980" t="s">
        <v>74</v>
      </c>
      <c r="F980" t="s">
        <v>15015</v>
      </c>
      <c r="G980" t="s">
        <v>74</v>
      </c>
      <c r="H980" t="s">
        <v>74</v>
      </c>
      <c r="I980" t="s">
        <v>15016</v>
      </c>
      <c r="J980" t="s">
        <v>14957</v>
      </c>
      <c r="K980" t="s">
        <v>14932</v>
      </c>
      <c r="L980" t="s">
        <v>74</v>
      </c>
      <c r="M980" t="s">
        <v>78</v>
      </c>
      <c r="N980" t="s">
        <v>5938</v>
      </c>
      <c r="O980" t="s">
        <v>14958</v>
      </c>
      <c r="P980" t="s">
        <v>14959</v>
      </c>
      <c r="Q980" t="s">
        <v>14960</v>
      </c>
      <c r="R980" t="s">
        <v>74</v>
      </c>
      <c r="S980" t="s">
        <v>74</v>
      </c>
      <c r="T980" t="s">
        <v>74</v>
      </c>
      <c r="U980" t="s">
        <v>15017</v>
      </c>
      <c r="V980" t="s">
        <v>15018</v>
      </c>
      <c r="W980" t="s">
        <v>15019</v>
      </c>
      <c r="X980" t="s">
        <v>15020</v>
      </c>
      <c r="Y980" t="s">
        <v>15021</v>
      </c>
      <c r="Z980" t="s">
        <v>15022</v>
      </c>
      <c r="AA980" t="s">
        <v>15023</v>
      </c>
      <c r="AB980" t="s">
        <v>15024</v>
      </c>
      <c r="AC980" t="s">
        <v>15025</v>
      </c>
      <c r="AD980" t="s">
        <v>15026</v>
      </c>
      <c r="AE980" t="s">
        <v>15027</v>
      </c>
      <c r="AF980" t="s">
        <v>74</v>
      </c>
      <c r="AG980">
        <v>11</v>
      </c>
      <c r="AH980">
        <v>35</v>
      </c>
      <c r="AI980">
        <v>40</v>
      </c>
      <c r="AJ980">
        <v>0</v>
      </c>
      <c r="AK980">
        <v>10</v>
      </c>
      <c r="AL980" t="s">
        <v>14944</v>
      </c>
      <c r="AM980" t="s">
        <v>788</v>
      </c>
      <c r="AN980" t="s">
        <v>14945</v>
      </c>
      <c r="AO980" t="s">
        <v>14946</v>
      </c>
      <c r="AP980" t="s">
        <v>74</v>
      </c>
      <c r="AQ980" t="s">
        <v>14969</v>
      </c>
      <c r="AR980" t="s">
        <v>14948</v>
      </c>
      <c r="AS980" t="s">
        <v>74</v>
      </c>
      <c r="AT980" t="s">
        <v>74</v>
      </c>
      <c r="AU980">
        <v>2007</v>
      </c>
      <c r="AV980">
        <v>46</v>
      </c>
      <c r="AW980" t="s">
        <v>74</v>
      </c>
      <c r="AX980" t="s">
        <v>74</v>
      </c>
      <c r="AY980" t="s">
        <v>74</v>
      </c>
      <c r="AZ980" t="s">
        <v>74</v>
      </c>
      <c r="BA980" t="s">
        <v>74</v>
      </c>
      <c r="BB980">
        <v>43</v>
      </c>
      <c r="BC980" t="s">
        <v>5541</v>
      </c>
      <c r="BD980" t="s">
        <v>74</v>
      </c>
      <c r="BE980" t="s">
        <v>15028</v>
      </c>
      <c r="BF980" t="str">
        <f>HYPERLINK("http://dx.doi.org/10.3189/172756407782871765","http://dx.doi.org/10.3189/172756407782871765")</f>
        <v>http://dx.doi.org/10.3189/172756407782871765</v>
      </c>
      <c r="BG980" t="s">
        <v>74</v>
      </c>
      <c r="BH980" t="s">
        <v>74</v>
      </c>
      <c r="BI980">
        <v>2</v>
      </c>
      <c r="BJ980" t="s">
        <v>195</v>
      </c>
      <c r="BK980" t="s">
        <v>5953</v>
      </c>
      <c r="BL980" t="s">
        <v>196</v>
      </c>
      <c r="BM980" t="s">
        <v>14971</v>
      </c>
      <c r="BN980" t="s">
        <v>74</v>
      </c>
      <c r="BO980" t="s">
        <v>154</v>
      </c>
      <c r="BP980" t="s">
        <v>74</v>
      </c>
      <c r="BQ980" t="s">
        <v>74</v>
      </c>
      <c r="BR980" t="s">
        <v>101</v>
      </c>
      <c r="BS980" t="s">
        <v>15029</v>
      </c>
      <c r="BT980" t="str">
        <f>HYPERLINK("https%3A%2F%2Fwww.webofscience.com%2Fwos%2Fwoscc%2Ffull-record%2FWOS:000250954200007","View Full Record in Web of Science")</f>
        <v>View Full Record in Web of Science</v>
      </c>
    </row>
    <row r="981" spans="1:72" x14ac:dyDescent="0.15">
      <c r="A981" t="s">
        <v>5932</v>
      </c>
      <c r="B981" t="s">
        <v>15030</v>
      </c>
      <c r="C981" t="s">
        <v>74</v>
      </c>
      <c r="D981" t="s">
        <v>14954</v>
      </c>
      <c r="E981" t="s">
        <v>74</v>
      </c>
      <c r="F981" t="s">
        <v>15031</v>
      </c>
      <c r="G981" t="s">
        <v>74</v>
      </c>
      <c r="H981" t="s">
        <v>74</v>
      </c>
      <c r="I981" t="s">
        <v>15032</v>
      </c>
      <c r="J981" t="s">
        <v>14957</v>
      </c>
      <c r="K981" t="s">
        <v>14932</v>
      </c>
      <c r="L981" t="s">
        <v>74</v>
      </c>
      <c r="M981" t="s">
        <v>78</v>
      </c>
      <c r="N981" t="s">
        <v>5938</v>
      </c>
      <c r="O981" t="s">
        <v>14958</v>
      </c>
      <c r="P981" t="s">
        <v>14959</v>
      </c>
      <c r="Q981" t="s">
        <v>14960</v>
      </c>
      <c r="R981" t="s">
        <v>74</v>
      </c>
      <c r="S981" t="s">
        <v>74</v>
      </c>
      <c r="T981" t="s">
        <v>74</v>
      </c>
      <c r="U981" t="s">
        <v>15033</v>
      </c>
      <c r="V981" t="s">
        <v>15034</v>
      </c>
      <c r="W981" t="s">
        <v>15035</v>
      </c>
      <c r="X981" t="s">
        <v>15036</v>
      </c>
      <c r="Y981" t="s">
        <v>15037</v>
      </c>
      <c r="Z981" t="s">
        <v>15038</v>
      </c>
      <c r="AA981" t="s">
        <v>15039</v>
      </c>
      <c r="AB981" t="s">
        <v>15040</v>
      </c>
      <c r="AC981" t="s">
        <v>15041</v>
      </c>
      <c r="AD981" t="s">
        <v>15042</v>
      </c>
      <c r="AE981" t="s">
        <v>15043</v>
      </c>
      <c r="AF981" t="s">
        <v>74</v>
      </c>
      <c r="AG981">
        <v>30</v>
      </c>
      <c r="AH981">
        <v>17</v>
      </c>
      <c r="AI981">
        <v>18</v>
      </c>
      <c r="AJ981">
        <v>0</v>
      </c>
      <c r="AK981">
        <v>6</v>
      </c>
      <c r="AL981" t="s">
        <v>14944</v>
      </c>
      <c r="AM981" t="s">
        <v>788</v>
      </c>
      <c r="AN981" t="s">
        <v>14945</v>
      </c>
      <c r="AO981" t="s">
        <v>14946</v>
      </c>
      <c r="AP981" t="s">
        <v>74</v>
      </c>
      <c r="AQ981" t="s">
        <v>14969</v>
      </c>
      <c r="AR981" t="s">
        <v>14948</v>
      </c>
      <c r="AS981" t="s">
        <v>74</v>
      </c>
      <c r="AT981" t="s">
        <v>74</v>
      </c>
      <c r="AU981">
        <v>2007</v>
      </c>
      <c r="AV981">
        <v>46</v>
      </c>
      <c r="AW981" t="s">
        <v>74</v>
      </c>
      <c r="AX981" t="s">
        <v>74</v>
      </c>
      <c r="AY981" t="s">
        <v>74</v>
      </c>
      <c r="AZ981" t="s">
        <v>74</v>
      </c>
      <c r="BA981" t="s">
        <v>74</v>
      </c>
      <c r="BB981">
        <v>55</v>
      </c>
      <c r="BC981" t="s">
        <v>5541</v>
      </c>
      <c r="BD981" t="s">
        <v>74</v>
      </c>
      <c r="BE981" t="s">
        <v>15044</v>
      </c>
      <c r="BF981" t="str">
        <f>HYPERLINK("http://dx.doi.org/10.3189/172756407782871387","http://dx.doi.org/10.3189/172756407782871387")</f>
        <v>http://dx.doi.org/10.3189/172756407782871387</v>
      </c>
      <c r="BG981" t="s">
        <v>74</v>
      </c>
      <c r="BH981" t="s">
        <v>74</v>
      </c>
      <c r="BI981">
        <v>3</v>
      </c>
      <c r="BJ981" t="s">
        <v>195</v>
      </c>
      <c r="BK981" t="s">
        <v>5953</v>
      </c>
      <c r="BL981" t="s">
        <v>196</v>
      </c>
      <c r="BM981" t="s">
        <v>14971</v>
      </c>
      <c r="BN981" t="s">
        <v>74</v>
      </c>
      <c r="BO981" t="s">
        <v>154</v>
      </c>
      <c r="BP981" t="s">
        <v>74</v>
      </c>
      <c r="BQ981" t="s">
        <v>74</v>
      </c>
      <c r="BR981" t="s">
        <v>101</v>
      </c>
      <c r="BS981" t="s">
        <v>15045</v>
      </c>
      <c r="BT981" t="str">
        <f>HYPERLINK("https%3A%2F%2Fwww.webofscience.com%2Fwos%2Fwoscc%2Ffull-record%2FWOS:000250954200009","View Full Record in Web of Science")</f>
        <v>View Full Record in Web of Science</v>
      </c>
    </row>
    <row r="982" spans="1:72" x14ac:dyDescent="0.15">
      <c r="A982" t="s">
        <v>5932</v>
      </c>
      <c r="B982" t="s">
        <v>15046</v>
      </c>
      <c r="C982" t="s">
        <v>74</v>
      </c>
      <c r="D982" t="s">
        <v>14954</v>
      </c>
      <c r="E982" t="s">
        <v>74</v>
      </c>
      <c r="F982" t="s">
        <v>15047</v>
      </c>
      <c r="G982" t="s">
        <v>74</v>
      </c>
      <c r="H982" t="s">
        <v>74</v>
      </c>
      <c r="I982" t="s">
        <v>15048</v>
      </c>
      <c r="J982" t="s">
        <v>14957</v>
      </c>
      <c r="K982" t="s">
        <v>14932</v>
      </c>
      <c r="L982" t="s">
        <v>74</v>
      </c>
      <c r="M982" t="s">
        <v>78</v>
      </c>
      <c r="N982" t="s">
        <v>5938</v>
      </c>
      <c r="O982" t="s">
        <v>14958</v>
      </c>
      <c r="P982" t="s">
        <v>14959</v>
      </c>
      <c r="Q982" t="s">
        <v>14960</v>
      </c>
      <c r="R982" t="s">
        <v>74</v>
      </c>
      <c r="S982" t="s">
        <v>74</v>
      </c>
      <c r="T982" t="s">
        <v>74</v>
      </c>
      <c r="U982" t="s">
        <v>15049</v>
      </c>
      <c r="V982" t="s">
        <v>15050</v>
      </c>
      <c r="W982" t="s">
        <v>15051</v>
      </c>
      <c r="X982" t="s">
        <v>6813</v>
      </c>
      <c r="Y982" t="s">
        <v>15052</v>
      </c>
      <c r="Z982" t="s">
        <v>15053</v>
      </c>
      <c r="AA982" t="s">
        <v>15054</v>
      </c>
      <c r="AB982" t="s">
        <v>15055</v>
      </c>
      <c r="AC982" t="s">
        <v>15056</v>
      </c>
      <c r="AD982" t="s">
        <v>15056</v>
      </c>
      <c r="AE982" t="s">
        <v>15057</v>
      </c>
      <c r="AF982" t="s">
        <v>74</v>
      </c>
      <c r="AG982">
        <v>31</v>
      </c>
      <c r="AH982">
        <v>4</v>
      </c>
      <c r="AI982">
        <v>5</v>
      </c>
      <c r="AJ982">
        <v>2</v>
      </c>
      <c r="AK982">
        <v>5</v>
      </c>
      <c r="AL982" t="s">
        <v>14944</v>
      </c>
      <c r="AM982" t="s">
        <v>788</v>
      </c>
      <c r="AN982" t="s">
        <v>14945</v>
      </c>
      <c r="AO982" t="s">
        <v>14946</v>
      </c>
      <c r="AP982" t="s">
        <v>74</v>
      </c>
      <c r="AQ982" t="s">
        <v>14969</v>
      </c>
      <c r="AR982" t="s">
        <v>14948</v>
      </c>
      <c r="AS982" t="s">
        <v>74</v>
      </c>
      <c r="AT982" t="s">
        <v>74</v>
      </c>
      <c r="AU982">
        <v>2007</v>
      </c>
      <c r="AV982">
        <v>46</v>
      </c>
      <c r="AW982" t="s">
        <v>74</v>
      </c>
      <c r="AX982" t="s">
        <v>74</v>
      </c>
      <c r="AY982" t="s">
        <v>74</v>
      </c>
      <c r="AZ982" t="s">
        <v>74</v>
      </c>
      <c r="BA982" t="s">
        <v>74</v>
      </c>
      <c r="BB982">
        <v>69</v>
      </c>
      <c r="BC982" t="s">
        <v>5541</v>
      </c>
      <c r="BD982" t="s">
        <v>74</v>
      </c>
      <c r="BE982" t="s">
        <v>15058</v>
      </c>
      <c r="BF982" t="str">
        <f>HYPERLINK("http://dx.doi.org/10.3189/172756407782871413","http://dx.doi.org/10.3189/172756407782871413")</f>
        <v>http://dx.doi.org/10.3189/172756407782871413</v>
      </c>
      <c r="BG982" t="s">
        <v>74</v>
      </c>
      <c r="BH982" t="s">
        <v>74</v>
      </c>
      <c r="BI982">
        <v>3</v>
      </c>
      <c r="BJ982" t="s">
        <v>195</v>
      </c>
      <c r="BK982" t="s">
        <v>5953</v>
      </c>
      <c r="BL982" t="s">
        <v>196</v>
      </c>
      <c r="BM982" t="s">
        <v>14971</v>
      </c>
      <c r="BN982" t="s">
        <v>74</v>
      </c>
      <c r="BO982" t="s">
        <v>1289</v>
      </c>
      <c r="BP982" t="s">
        <v>74</v>
      </c>
      <c r="BQ982" t="s">
        <v>74</v>
      </c>
      <c r="BR982" t="s">
        <v>101</v>
      </c>
      <c r="BS982" t="s">
        <v>15059</v>
      </c>
      <c r="BT982" t="str">
        <f>HYPERLINK("https%3A%2F%2Fwww.webofscience.com%2Fwos%2Fwoscc%2Ffull-record%2FWOS:000250954200011","View Full Record in Web of Science")</f>
        <v>View Full Record in Web of Science</v>
      </c>
    </row>
    <row r="983" spans="1:72" x14ac:dyDescent="0.15">
      <c r="A983" t="s">
        <v>5932</v>
      </c>
      <c r="B983" t="s">
        <v>15060</v>
      </c>
      <c r="C983" t="s">
        <v>74</v>
      </c>
      <c r="D983" t="s">
        <v>14954</v>
      </c>
      <c r="E983" t="s">
        <v>74</v>
      </c>
      <c r="F983" t="s">
        <v>15061</v>
      </c>
      <c r="G983" t="s">
        <v>74</v>
      </c>
      <c r="H983" t="s">
        <v>74</v>
      </c>
      <c r="I983" t="s">
        <v>15062</v>
      </c>
      <c r="J983" t="s">
        <v>14957</v>
      </c>
      <c r="K983" t="s">
        <v>14932</v>
      </c>
      <c r="L983" t="s">
        <v>74</v>
      </c>
      <c r="M983" t="s">
        <v>78</v>
      </c>
      <c r="N983" t="s">
        <v>5938</v>
      </c>
      <c r="O983" t="s">
        <v>14958</v>
      </c>
      <c r="P983" t="s">
        <v>14959</v>
      </c>
      <c r="Q983" t="s">
        <v>14960</v>
      </c>
      <c r="R983" t="s">
        <v>74</v>
      </c>
      <c r="S983" t="s">
        <v>74</v>
      </c>
      <c r="T983" t="s">
        <v>74</v>
      </c>
      <c r="U983" t="s">
        <v>15063</v>
      </c>
      <c r="V983" t="s">
        <v>15064</v>
      </c>
      <c r="W983" t="s">
        <v>15065</v>
      </c>
      <c r="X983" t="s">
        <v>7008</v>
      </c>
      <c r="Y983" t="s">
        <v>15066</v>
      </c>
      <c r="Z983" t="s">
        <v>15067</v>
      </c>
      <c r="AA983" t="s">
        <v>74</v>
      </c>
      <c r="AB983" t="s">
        <v>74</v>
      </c>
      <c r="AC983" t="s">
        <v>74</v>
      </c>
      <c r="AD983" t="s">
        <v>74</v>
      </c>
      <c r="AE983" t="s">
        <v>74</v>
      </c>
      <c r="AF983" t="s">
        <v>74</v>
      </c>
      <c r="AG983">
        <v>9</v>
      </c>
      <c r="AH983">
        <v>6</v>
      </c>
      <c r="AI983">
        <v>7</v>
      </c>
      <c r="AJ983">
        <v>0</v>
      </c>
      <c r="AK983">
        <v>3</v>
      </c>
      <c r="AL983" t="s">
        <v>14944</v>
      </c>
      <c r="AM983" t="s">
        <v>788</v>
      </c>
      <c r="AN983" t="s">
        <v>14945</v>
      </c>
      <c r="AO983" t="s">
        <v>14946</v>
      </c>
      <c r="AP983" t="s">
        <v>74</v>
      </c>
      <c r="AQ983" t="s">
        <v>14969</v>
      </c>
      <c r="AR983" t="s">
        <v>14948</v>
      </c>
      <c r="AS983" t="s">
        <v>74</v>
      </c>
      <c r="AT983" t="s">
        <v>74</v>
      </c>
      <c r="AU983">
        <v>2007</v>
      </c>
      <c r="AV983">
        <v>46</v>
      </c>
      <c r="AW983" t="s">
        <v>74</v>
      </c>
      <c r="AX983" t="s">
        <v>74</v>
      </c>
      <c r="AY983" t="s">
        <v>74</v>
      </c>
      <c r="AZ983" t="s">
        <v>74</v>
      </c>
      <c r="BA983" t="s">
        <v>74</v>
      </c>
      <c r="BB983">
        <v>78</v>
      </c>
      <c r="BC983" t="s">
        <v>5541</v>
      </c>
      <c r="BD983" t="s">
        <v>74</v>
      </c>
      <c r="BE983" t="s">
        <v>15068</v>
      </c>
      <c r="BF983" t="str">
        <f>HYPERLINK("http://dx.doi.org/10.3189/172756407782871602","http://dx.doi.org/10.3189/172756407782871602")</f>
        <v>http://dx.doi.org/10.3189/172756407782871602</v>
      </c>
      <c r="BG983" t="s">
        <v>74</v>
      </c>
      <c r="BH983" t="s">
        <v>74</v>
      </c>
      <c r="BI983">
        <v>3</v>
      </c>
      <c r="BJ983" t="s">
        <v>195</v>
      </c>
      <c r="BK983" t="s">
        <v>5953</v>
      </c>
      <c r="BL983" t="s">
        <v>196</v>
      </c>
      <c r="BM983" t="s">
        <v>14971</v>
      </c>
      <c r="BN983" t="s">
        <v>74</v>
      </c>
      <c r="BO983" t="s">
        <v>154</v>
      </c>
      <c r="BP983" t="s">
        <v>74</v>
      </c>
      <c r="BQ983" t="s">
        <v>74</v>
      </c>
      <c r="BR983" t="s">
        <v>101</v>
      </c>
      <c r="BS983" t="s">
        <v>15069</v>
      </c>
      <c r="BT983" t="str">
        <f>HYPERLINK("https%3A%2F%2Fwww.webofscience.com%2Fwos%2Fwoscc%2Ffull-record%2FWOS:000250954200012","View Full Record in Web of Science")</f>
        <v>View Full Record in Web of Science</v>
      </c>
    </row>
    <row r="984" spans="1:72" x14ac:dyDescent="0.15">
      <c r="A984" t="s">
        <v>5932</v>
      </c>
      <c r="B984" t="s">
        <v>15070</v>
      </c>
      <c r="C984" t="s">
        <v>74</v>
      </c>
      <c r="D984" t="s">
        <v>14954</v>
      </c>
      <c r="E984" t="s">
        <v>74</v>
      </c>
      <c r="F984" t="s">
        <v>15071</v>
      </c>
      <c r="G984" t="s">
        <v>74</v>
      </c>
      <c r="H984" t="s">
        <v>74</v>
      </c>
      <c r="I984" t="s">
        <v>15072</v>
      </c>
      <c r="J984" t="s">
        <v>14957</v>
      </c>
      <c r="K984" t="s">
        <v>14932</v>
      </c>
      <c r="L984" t="s">
        <v>74</v>
      </c>
      <c r="M984" t="s">
        <v>78</v>
      </c>
      <c r="N984" t="s">
        <v>5938</v>
      </c>
      <c r="O984" t="s">
        <v>14958</v>
      </c>
      <c r="P984" t="s">
        <v>14959</v>
      </c>
      <c r="Q984" t="s">
        <v>14960</v>
      </c>
      <c r="R984" t="s">
        <v>74</v>
      </c>
      <c r="S984" t="s">
        <v>74</v>
      </c>
      <c r="T984" t="s">
        <v>74</v>
      </c>
      <c r="U984" t="s">
        <v>15073</v>
      </c>
      <c r="V984" t="s">
        <v>15074</v>
      </c>
      <c r="W984" t="s">
        <v>15075</v>
      </c>
      <c r="X984" t="s">
        <v>10525</v>
      </c>
      <c r="Y984" t="s">
        <v>15076</v>
      </c>
      <c r="Z984" t="s">
        <v>15077</v>
      </c>
      <c r="AA984" t="s">
        <v>15078</v>
      </c>
      <c r="AB984" t="s">
        <v>15079</v>
      </c>
      <c r="AC984" t="s">
        <v>15080</v>
      </c>
      <c r="AD984" t="s">
        <v>15081</v>
      </c>
      <c r="AE984" t="s">
        <v>15082</v>
      </c>
      <c r="AF984" t="s">
        <v>74</v>
      </c>
      <c r="AG984">
        <v>22</v>
      </c>
      <c r="AH984">
        <v>2</v>
      </c>
      <c r="AI984">
        <v>2</v>
      </c>
      <c r="AJ984">
        <v>0</v>
      </c>
      <c r="AK984">
        <v>3</v>
      </c>
      <c r="AL984" t="s">
        <v>14944</v>
      </c>
      <c r="AM984" t="s">
        <v>788</v>
      </c>
      <c r="AN984" t="s">
        <v>14945</v>
      </c>
      <c r="AO984" t="s">
        <v>14946</v>
      </c>
      <c r="AP984" t="s">
        <v>74</v>
      </c>
      <c r="AQ984" t="s">
        <v>14969</v>
      </c>
      <c r="AR984" t="s">
        <v>14948</v>
      </c>
      <c r="AS984" t="s">
        <v>74</v>
      </c>
      <c r="AT984" t="s">
        <v>74</v>
      </c>
      <c r="AU984">
        <v>2007</v>
      </c>
      <c r="AV984">
        <v>46</v>
      </c>
      <c r="AW984" t="s">
        <v>74</v>
      </c>
      <c r="AX984" t="s">
        <v>74</v>
      </c>
      <c r="AY984" t="s">
        <v>74</v>
      </c>
      <c r="AZ984" t="s">
        <v>74</v>
      </c>
      <c r="BA984" t="s">
        <v>74</v>
      </c>
      <c r="BB984">
        <v>83</v>
      </c>
      <c r="BC984" t="s">
        <v>5541</v>
      </c>
      <c r="BD984" t="s">
        <v>74</v>
      </c>
      <c r="BE984" t="s">
        <v>15083</v>
      </c>
      <c r="BF984" t="str">
        <f>HYPERLINK("http://dx.doi.org/10.3189/172756407782871521","http://dx.doi.org/10.3189/172756407782871521")</f>
        <v>http://dx.doi.org/10.3189/172756407782871521</v>
      </c>
      <c r="BG984" t="s">
        <v>74</v>
      </c>
      <c r="BH984" t="s">
        <v>74</v>
      </c>
      <c r="BI984">
        <v>2</v>
      </c>
      <c r="BJ984" t="s">
        <v>195</v>
      </c>
      <c r="BK984" t="s">
        <v>5953</v>
      </c>
      <c r="BL984" t="s">
        <v>196</v>
      </c>
      <c r="BM984" t="s">
        <v>14971</v>
      </c>
      <c r="BN984" t="s">
        <v>74</v>
      </c>
      <c r="BO984" t="s">
        <v>154</v>
      </c>
      <c r="BP984" t="s">
        <v>74</v>
      </c>
      <c r="BQ984" t="s">
        <v>74</v>
      </c>
      <c r="BR984" t="s">
        <v>101</v>
      </c>
      <c r="BS984" t="s">
        <v>15084</v>
      </c>
      <c r="BT984" t="str">
        <f>HYPERLINK("https%3A%2F%2Fwww.webofscience.com%2Fwos%2Fwoscc%2Ffull-record%2FWOS:000250954200013","View Full Record in Web of Science")</f>
        <v>View Full Record in Web of Science</v>
      </c>
    </row>
    <row r="985" spans="1:72" x14ac:dyDescent="0.15">
      <c r="A985" t="s">
        <v>5932</v>
      </c>
      <c r="B985" t="s">
        <v>15085</v>
      </c>
      <c r="C985" t="s">
        <v>74</v>
      </c>
      <c r="D985" t="s">
        <v>14954</v>
      </c>
      <c r="E985" t="s">
        <v>74</v>
      </c>
      <c r="F985" t="s">
        <v>15086</v>
      </c>
      <c r="G985" t="s">
        <v>74</v>
      </c>
      <c r="H985" t="s">
        <v>74</v>
      </c>
      <c r="I985" t="s">
        <v>15087</v>
      </c>
      <c r="J985" t="s">
        <v>14957</v>
      </c>
      <c r="K985" t="s">
        <v>14932</v>
      </c>
      <c r="L985" t="s">
        <v>74</v>
      </c>
      <c r="M985" t="s">
        <v>78</v>
      </c>
      <c r="N985" t="s">
        <v>5938</v>
      </c>
      <c r="O985" t="s">
        <v>14958</v>
      </c>
      <c r="P985" t="s">
        <v>14959</v>
      </c>
      <c r="Q985" t="s">
        <v>14960</v>
      </c>
      <c r="R985" t="s">
        <v>74</v>
      </c>
      <c r="S985" t="s">
        <v>74</v>
      </c>
      <c r="T985" t="s">
        <v>74</v>
      </c>
      <c r="U985" t="s">
        <v>15088</v>
      </c>
      <c r="V985" t="s">
        <v>15089</v>
      </c>
      <c r="W985" t="s">
        <v>15090</v>
      </c>
      <c r="X985" t="s">
        <v>15091</v>
      </c>
      <c r="Y985" t="s">
        <v>15092</v>
      </c>
      <c r="Z985" t="s">
        <v>15093</v>
      </c>
      <c r="AA985" t="s">
        <v>15094</v>
      </c>
      <c r="AB985" t="s">
        <v>15095</v>
      </c>
      <c r="AC985" t="s">
        <v>15096</v>
      </c>
      <c r="AD985" t="s">
        <v>15097</v>
      </c>
      <c r="AE985" t="s">
        <v>15098</v>
      </c>
      <c r="AF985" t="s">
        <v>74</v>
      </c>
      <c r="AG985">
        <v>25</v>
      </c>
      <c r="AH985">
        <v>14</v>
      </c>
      <c r="AI985">
        <v>15</v>
      </c>
      <c r="AJ985">
        <v>0</v>
      </c>
      <c r="AK985">
        <v>6</v>
      </c>
      <c r="AL985" t="s">
        <v>14944</v>
      </c>
      <c r="AM985" t="s">
        <v>788</v>
      </c>
      <c r="AN985" t="s">
        <v>14945</v>
      </c>
      <c r="AO985" t="s">
        <v>14946</v>
      </c>
      <c r="AP985" t="s">
        <v>74</v>
      </c>
      <c r="AQ985" t="s">
        <v>14969</v>
      </c>
      <c r="AR985" t="s">
        <v>14948</v>
      </c>
      <c r="AS985" t="s">
        <v>74</v>
      </c>
      <c r="AT985" t="s">
        <v>74</v>
      </c>
      <c r="AU985">
        <v>2007</v>
      </c>
      <c r="AV985">
        <v>46</v>
      </c>
      <c r="AW985" t="s">
        <v>74</v>
      </c>
      <c r="AX985" t="s">
        <v>74</v>
      </c>
      <c r="AY985" t="s">
        <v>74</v>
      </c>
      <c r="AZ985" t="s">
        <v>74</v>
      </c>
      <c r="BA985" t="s">
        <v>74</v>
      </c>
      <c r="BB985">
        <v>117</v>
      </c>
      <c r="BC985" t="s">
        <v>5541</v>
      </c>
      <c r="BD985" t="s">
        <v>74</v>
      </c>
      <c r="BE985" t="s">
        <v>15099</v>
      </c>
      <c r="BF985" t="str">
        <f>HYPERLINK("http://dx.doi.org/10.3189/172756407782871477","http://dx.doi.org/10.3189/172756407782871477")</f>
        <v>http://dx.doi.org/10.3189/172756407782871477</v>
      </c>
      <c r="BG985" t="s">
        <v>74</v>
      </c>
      <c r="BH985" t="s">
        <v>74</v>
      </c>
      <c r="BI985">
        <v>3</v>
      </c>
      <c r="BJ985" t="s">
        <v>195</v>
      </c>
      <c r="BK985" t="s">
        <v>5953</v>
      </c>
      <c r="BL985" t="s">
        <v>196</v>
      </c>
      <c r="BM985" t="s">
        <v>14971</v>
      </c>
      <c r="BN985" t="s">
        <v>74</v>
      </c>
      <c r="BO985" t="s">
        <v>1289</v>
      </c>
      <c r="BP985" t="s">
        <v>74</v>
      </c>
      <c r="BQ985" t="s">
        <v>74</v>
      </c>
      <c r="BR985" t="s">
        <v>101</v>
      </c>
      <c r="BS985" t="s">
        <v>15100</v>
      </c>
      <c r="BT985" t="str">
        <f>HYPERLINK("https%3A%2F%2Fwww.webofscience.com%2Fwos%2Fwoscc%2Ffull-record%2FWOS:000250954200017","View Full Record in Web of Science")</f>
        <v>View Full Record in Web of Science</v>
      </c>
    </row>
    <row r="986" spans="1:72" x14ac:dyDescent="0.15">
      <c r="A986" t="s">
        <v>5932</v>
      </c>
      <c r="B986" t="s">
        <v>15101</v>
      </c>
      <c r="C986" t="s">
        <v>74</v>
      </c>
      <c r="D986" t="s">
        <v>14954</v>
      </c>
      <c r="E986" t="s">
        <v>74</v>
      </c>
      <c r="F986" t="s">
        <v>15102</v>
      </c>
      <c r="G986" t="s">
        <v>74</v>
      </c>
      <c r="H986" t="s">
        <v>74</v>
      </c>
      <c r="I986" t="s">
        <v>15103</v>
      </c>
      <c r="J986" t="s">
        <v>14957</v>
      </c>
      <c r="K986" t="s">
        <v>14932</v>
      </c>
      <c r="L986" t="s">
        <v>74</v>
      </c>
      <c r="M986" t="s">
        <v>78</v>
      </c>
      <c r="N986" t="s">
        <v>5938</v>
      </c>
      <c r="O986" t="s">
        <v>14958</v>
      </c>
      <c r="P986" t="s">
        <v>14959</v>
      </c>
      <c r="Q986" t="s">
        <v>14960</v>
      </c>
      <c r="R986" t="s">
        <v>74</v>
      </c>
      <c r="S986" t="s">
        <v>74</v>
      </c>
      <c r="T986" t="s">
        <v>74</v>
      </c>
      <c r="U986" t="s">
        <v>15104</v>
      </c>
      <c r="V986" t="s">
        <v>15105</v>
      </c>
      <c r="W986" t="s">
        <v>15106</v>
      </c>
      <c r="X986" t="s">
        <v>15107</v>
      </c>
      <c r="Y986" t="s">
        <v>15108</v>
      </c>
      <c r="Z986" t="s">
        <v>15109</v>
      </c>
      <c r="AA986" t="s">
        <v>15110</v>
      </c>
      <c r="AB986" t="s">
        <v>15111</v>
      </c>
      <c r="AC986" t="s">
        <v>15112</v>
      </c>
      <c r="AD986" t="s">
        <v>15112</v>
      </c>
      <c r="AE986" t="s">
        <v>15113</v>
      </c>
      <c r="AF986" t="s">
        <v>74</v>
      </c>
      <c r="AG986">
        <v>24</v>
      </c>
      <c r="AH986">
        <v>9</v>
      </c>
      <c r="AI986">
        <v>15</v>
      </c>
      <c r="AJ986">
        <v>0</v>
      </c>
      <c r="AK986">
        <v>1</v>
      </c>
      <c r="AL986" t="s">
        <v>14944</v>
      </c>
      <c r="AM986" t="s">
        <v>788</v>
      </c>
      <c r="AN986" t="s">
        <v>14945</v>
      </c>
      <c r="AO986" t="s">
        <v>14946</v>
      </c>
      <c r="AP986" t="s">
        <v>74</v>
      </c>
      <c r="AQ986" t="s">
        <v>14969</v>
      </c>
      <c r="AR986" t="s">
        <v>14948</v>
      </c>
      <c r="AS986" t="s">
        <v>74</v>
      </c>
      <c r="AT986" t="s">
        <v>74</v>
      </c>
      <c r="AU986">
        <v>2007</v>
      </c>
      <c r="AV986">
        <v>46</v>
      </c>
      <c r="AW986" t="s">
        <v>74</v>
      </c>
      <c r="AX986" t="s">
        <v>74</v>
      </c>
      <c r="AY986" t="s">
        <v>74</v>
      </c>
      <c r="AZ986" t="s">
        <v>74</v>
      </c>
      <c r="BA986" t="s">
        <v>74</v>
      </c>
      <c r="BB986">
        <v>131</v>
      </c>
      <c r="BC986" t="s">
        <v>5541</v>
      </c>
      <c r="BD986" t="s">
        <v>74</v>
      </c>
      <c r="BE986" t="s">
        <v>15114</v>
      </c>
      <c r="BF986" t="str">
        <f>HYPERLINK("http://dx.doi.org/10.3189/172756407782871189","http://dx.doi.org/10.3189/172756407782871189")</f>
        <v>http://dx.doi.org/10.3189/172756407782871189</v>
      </c>
      <c r="BG986" t="s">
        <v>74</v>
      </c>
      <c r="BH986" t="s">
        <v>74</v>
      </c>
      <c r="BI986">
        <v>3</v>
      </c>
      <c r="BJ986" t="s">
        <v>195</v>
      </c>
      <c r="BK986" t="s">
        <v>5953</v>
      </c>
      <c r="BL986" t="s">
        <v>196</v>
      </c>
      <c r="BM986" t="s">
        <v>14971</v>
      </c>
      <c r="BN986" t="s">
        <v>74</v>
      </c>
      <c r="BO986" t="s">
        <v>797</v>
      </c>
      <c r="BP986" t="s">
        <v>74</v>
      </c>
      <c r="BQ986" t="s">
        <v>74</v>
      </c>
      <c r="BR986" t="s">
        <v>101</v>
      </c>
      <c r="BS986" t="s">
        <v>15115</v>
      </c>
      <c r="BT986" t="str">
        <f>HYPERLINK("https%3A%2F%2Fwww.webofscience.com%2Fwos%2Fwoscc%2Ffull-record%2FWOS:000250954200019","View Full Record in Web of Science")</f>
        <v>View Full Record in Web of Science</v>
      </c>
    </row>
    <row r="987" spans="1:72" x14ac:dyDescent="0.15">
      <c r="A987" t="s">
        <v>5932</v>
      </c>
      <c r="B987" t="s">
        <v>15116</v>
      </c>
      <c r="C987" t="s">
        <v>74</v>
      </c>
      <c r="D987" t="s">
        <v>14954</v>
      </c>
      <c r="E987" t="s">
        <v>74</v>
      </c>
      <c r="F987" t="s">
        <v>15117</v>
      </c>
      <c r="G987" t="s">
        <v>74</v>
      </c>
      <c r="H987" t="s">
        <v>74</v>
      </c>
      <c r="I987" t="s">
        <v>15118</v>
      </c>
      <c r="J987" t="s">
        <v>14957</v>
      </c>
      <c r="K987" t="s">
        <v>14932</v>
      </c>
      <c r="L987" t="s">
        <v>74</v>
      </c>
      <c r="M987" t="s">
        <v>78</v>
      </c>
      <c r="N987" t="s">
        <v>5938</v>
      </c>
      <c r="O987" t="s">
        <v>14958</v>
      </c>
      <c r="P987" t="s">
        <v>14959</v>
      </c>
      <c r="Q987" t="s">
        <v>14960</v>
      </c>
      <c r="R987" t="s">
        <v>74</v>
      </c>
      <c r="S987" t="s">
        <v>74</v>
      </c>
      <c r="T987" t="s">
        <v>74</v>
      </c>
      <c r="U987" t="s">
        <v>15119</v>
      </c>
      <c r="V987" t="s">
        <v>15120</v>
      </c>
      <c r="W987" t="s">
        <v>15121</v>
      </c>
      <c r="X987" t="s">
        <v>15122</v>
      </c>
      <c r="Y987" t="s">
        <v>15123</v>
      </c>
      <c r="Z987" t="s">
        <v>15124</v>
      </c>
      <c r="AA987" t="s">
        <v>15125</v>
      </c>
      <c r="AB987" t="s">
        <v>15126</v>
      </c>
      <c r="AC987" t="s">
        <v>15127</v>
      </c>
      <c r="AD987" t="s">
        <v>15128</v>
      </c>
      <c r="AE987" t="s">
        <v>15129</v>
      </c>
      <c r="AF987" t="s">
        <v>74</v>
      </c>
      <c r="AG987">
        <v>14</v>
      </c>
      <c r="AH987">
        <v>15</v>
      </c>
      <c r="AI987">
        <v>15</v>
      </c>
      <c r="AJ987">
        <v>2</v>
      </c>
      <c r="AK987">
        <v>6</v>
      </c>
      <c r="AL987" t="s">
        <v>14944</v>
      </c>
      <c r="AM987" t="s">
        <v>788</v>
      </c>
      <c r="AN987" t="s">
        <v>14945</v>
      </c>
      <c r="AO987" t="s">
        <v>14946</v>
      </c>
      <c r="AP987" t="s">
        <v>74</v>
      </c>
      <c r="AQ987" t="s">
        <v>14969</v>
      </c>
      <c r="AR987" t="s">
        <v>14948</v>
      </c>
      <c r="AS987" t="s">
        <v>74</v>
      </c>
      <c r="AT987" t="s">
        <v>74</v>
      </c>
      <c r="AU987">
        <v>2007</v>
      </c>
      <c r="AV987">
        <v>46</v>
      </c>
      <c r="AW987" t="s">
        <v>74</v>
      </c>
      <c r="AX987" t="s">
        <v>74</v>
      </c>
      <c r="AY987" t="s">
        <v>74</v>
      </c>
      <c r="AZ987" t="s">
        <v>74</v>
      </c>
      <c r="BA987" t="s">
        <v>74</v>
      </c>
      <c r="BB987">
        <v>189</v>
      </c>
      <c r="BC987" t="s">
        <v>5541</v>
      </c>
      <c r="BD987" t="s">
        <v>74</v>
      </c>
      <c r="BE987" t="s">
        <v>15130</v>
      </c>
      <c r="BF987" t="str">
        <f>HYPERLINK("http://dx.doi.org/10.3189/172756407782871792","http://dx.doi.org/10.3189/172756407782871792")</f>
        <v>http://dx.doi.org/10.3189/172756407782871792</v>
      </c>
      <c r="BG987" t="s">
        <v>74</v>
      </c>
      <c r="BH987" t="s">
        <v>74</v>
      </c>
      <c r="BI987">
        <v>2</v>
      </c>
      <c r="BJ987" t="s">
        <v>195</v>
      </c>
      <c r="BK987" t="s">
        <v>5953</v>
      </c>
      <c r="BL987" t="s">
        <v>196</v>
      </c>
      <c r="BM987" t="s">
        <v>14971</v>
      </c>
      <c r="BN987" t="s">
        <v>74</v>
      </c>
      <c r="BO987" t="s">
        <v>154</v>
      </c>
      <c r="BP987" t="s">
        <v>74</v>
      </c>
      <c r="BQ987" t="s">
        <v>74</v>
      </c>
      <c r="BR987" t="s">
        <v>101</v>
      </c>
      <c r="BS987" t="s">
        <v>15131</v>
      </c>
      <c r="BT987" t="str">
        <f>HYPERLINK("https%3A%2F%2Fwww.webofscience.com%2Fwos%2Fwoscc%2Ffull-record%2FWOS:000250954200027","View Full Record in Web of Science")</f>
        <v>View Full Record in Web of Science</v>
      </c>
    </row>
    <row r="988" spans="1:72" x14ac:dyDescent="0.15">
      <c r="A988" t="s">
        <v>5932</v>
      </c>
      <c r="B988" t="s">
        <v>15132</v>
      </c>
      <c r="C988" t="s">
        <v>74</v>
      </c>
      <c r="D988" t="s">
        <v>14954</v>
      </c>
      <c r="E988" t="s">
        <v>74</v>
      </c>
      <c r="F988" t="s">
        <v>15133</v>
      </c>
      <c r="G988" t="s">
        <v>74</v>
      </c>
      <c r="H988" t="s">
        <v>74</v>
      </c>
      <c r="I988" t="s">
        <v>15134</v>
      </c>
      <c r="J988" t="s">
        <v>14957</v>
      </c>
      <c r="K988" t="s">
        <v>14932</v>
      </c>
      <c r="L988" t="s">
        <v>74</v>
      </c>
      <c r="M988" t="s">
        <v>78</v>
      </c>
      <c r="N988" t="s">
        <v>5938</v>
      </c>
      <c r="O988" t="s">
        <v>14958</v>
      </c>
      <c r="P988" t="s">
        <v>14959</v>
      </c>
      <c r="Q988" t="s">
        <v>14960</v>
      </c>
      <c r="R988" t="s">
        <v>74</v>
      </c>
      <c r="S988" t="s">
        <v>74</v>
      </c>
      <c r="T988" t="s">
        <v>74</v>
      </c>
      <c r="U988" t="s">
        <v>15135</v>
      </c>
      <c r="V988" t="s">
        <v>15136</v>
      </c>
      <c r="W988" t="s">
        <v>15137</v>
      </c>
      <c r="X988" t="s">
        <v>15138</v>
      </c>
      <c r="Y988" t="s">
        <v>15139</v>
      </c>
      <c r="Z988" t="s">
        <v>15140</v>
      </c>
      <c r="AA988" t="s">
        <v>15141</v>
      </c>
      <c r="AB988" t="s">
        <v>15142</v>
      </c>
      <c r="AC988" t="s">
        <v>15143</v>
      </c>
      <c r="AD988" t="s">
        <v>15144</v>
      </c>
      <c r="AE988" t="s">
        <v>15145</v>
      </c>
      <c r="AF988" t="s">
        <v>74</v>
      </c>
      <c r="AG988">
        <v>24</v>
      </c>
      <c r="AH988">
        <v>59</v>
      </c>
      <c r="AI988">
        <v>63</v>
      </c>
      <c r="AJ988">
        <v>0</v>
      </c>
      <c r="AK988">
        <v>17</v>
      </c>
      <c r="AL988" t="s">
        <v>14944</v>
      </c>
      <c r="AM988" t="s">
        <v>788</v>
      </c>
      <c r="AN988" t="s">
        <v>14945</v>
      </c>
      <c r="AO988" t="s">
        <v>14946</v>
      </c>
      <c r="AP988" t="s">
        <v>74</v>
      </c>
      <c r="AQ988" t="s">
        <v>14969</v>
      </c>
      <c r="AR988" t="s">
        <v>14948</v>
      </c>
      <c r="AS988" t="s">
        <v>74</v>
      </c>
      <c r="AT988" t="s">
        <v>74</v>
      </c>
      <c r="AU988">
        <v>2007</v>
      </c>
      <c r="AV988">
        <v>46</v>
      </c>
      <c r="AW988" t="s">
        <v>74</v>
      </c>
      <c r="AX988" t="s">
        <v>74</v>
      </c>
      <c r="AY988" t="s">
        <v>74</v>
      </c>
      <c r="AZ988" t="s">
        <v>74</v>
      </c>
      <c r="BA988" t="s">
        <v>74</v>
      </c>
      <c r="BB988">
        <v>227</v>
      </c>
      <c r="BC988" t="s">
        <v>5541</v>
      </c>
      <c r="BD988" t="s">
        <v>74</v>
      </c>
      <c r="BE988" t="s">
        <v>15146</v>
      </c>
      <c r="BF988" t="str">
        <f>HYPERLINK("http://dx.doi.org/10.3189/172756407782871224","http://dx.doi.org/10.3189/172756407782871224")</f>
        <v>http://dx.doi.org/10.3189/172756407782871224</v>
      </c>
      <c r="BG988" t="s">
        <v>74</v>
      </c>
      <c r="BH988" t="s">
        <v>74</v>
      </c>
      <c r="BI988">
        <v>2</v>
      </c>
      <c r="BJ988" t="s">
        <v>195</v>
      </c>
      <c r="BK988" t="s">
        <v>5953</v>
      </c>
      <c r="BL988" t="s">
        <v>196</v>
      </c>
      <c r="BM988" t="s">
        <v>14971</v>
      </c>
      <c r="BN988" t="s">
        <v>74</v>
      </c>
      <c r="BO988" t="s">
        <v>154</v>
      </c>
      <c r="BP988" t="s">
        <v>74</v>
      </c>
      <c r="BQ988" t="s">
        <v>74</v>
      </c>
      <c r="BR988" t="s">
        <v>101</v>
      </c>
      <c r="BS988" t="s">
        <v>15147</v>
      </c>
      <c r="BT988" t="str">
        <f>HYPERLINK("https%3A%2F%2Fwww.webofscience.com%2Fwos%2Fwoscc%2Ffull-record%2FWOS:000250954200033","View Full Record in Web of Science")</f>
        <v>View Full Record in Web of Science</v>
      </c>
    </row>
    <row r="989" spans="1:72" x14ac:dyDescent="0.15">
      <c r="A989" t="s">
        <v>5932</v>
      </c>
      <c r="B989" t="s">
        <v>15148</v>
      </c>
      <c r="C989" t="s">
        <v>74</v>
      </c>
      <c r="D989" t="s">
        <v>14954</v>
      </c>
      <c r="E989" t="s">
        <v>74</v>
      </c>
      <c r="F989" t="s">
        <v>15149</v>
      </c>
      <c r="G989" t="s">
        <v>74</v>
      </c>
      <c r="H989" t="s">
        <v>74</v>
      </c>
      <c r="I989" t="s">
        <v>15150</v>
      </c>
      <c r="J989" t="s">
        <v>14957</v>
      </c>
      <c r="K989" t="s">
        <v>14932</v>
      </c>
      <c r="L989" t="s">
        <v>74</v>
      </c>
      <c r="M989" t="s">
        <v>78</v>
      </c>
      <c r="N989" t="s">
        <v>5938</v>
      </c>
      <c r="O989" t="s">
        <v>14958</v>
      </c>
      <c r="P989" t="s">
        <v>14959</v>
      </c>
      <c r="Q989" t="s">
        <v>14960</v>
      </c>
      <c r="R989" t="s">
        <v>74</v>
      </c>
      <c r="S989" t="s">
        <v>74</v>
      </c>
      <c r="T989" t="s">
        <v>74</v>
      </c>
      <c r="U989" t="s">
        <v>15151</v>
      </c>
      <c r="V989" t="s">
        <v>15152</v>
      </c>
      <c r="W989" t="s">
        <v>15153</v>
      </c>
      <c r="X989" t="s">
        <v>15154</v>
      </c>
      <c r="Y989" t="s">
        <v>15155</v>
      </c>
      <c r="Z989" t="s">
        <v>15156</v>
      </c>
      <c r="AA989" t="s">
        <v>74</v>
      </c>
      <c r="AB989" t="s">
        <v>15157</v>
      </c>
      <c r="AC989" t="s">
        <v>15158</v>
      </c>
      <c r="AD989" t="s">
        <v>15159</v>
      </c>
      <c r="AE989" t="s">
        <v>15160</v>
      </c>
      <c r="AF989" t="s">
        <v>74</v>
      </c>
      <c r="AG989">
        <v>16</v>
      </c>
      <c r="AH989">
        <v>11</v>
      </c>
      <c r="AI989">
        <v>14</v>
      </c>
      <c r="AJ989">
        <v>1</v>
      </c>
      <c r="AK989">
        <v>5</v>
      </c>
      <c r="AL989" t="s">
        <v>14944</v>
      </c>
      <c r="AM989" t="s">
        <v>788</v>
      </c>
      <c r="AN989" t="s">
        <v>14945</v>
      </c>
      <c r="AO989" t="s">
        <v>14946</v>
      </c>
      <c r="AP989" t="s">
        <v>74</v>
      </c>
      <c r="AQ989" t="s">
        <v>14969</v>
      </c>
      <c r="AR989" t="s">
        <v>14948</v>
      </c>
      <c r="AS989" t="s">
        <v>74</v>
      </c>
      <c r="AT989" t="s">
        <v>74</v>
      </c>
      <c r="AU989">
        <v>2007</v>
      </c>
      <c r="AV989">
        <v>46</v>
      </c>
      <c r="AW989" t="s">
        <v>74</v>
      </c>
      <c r="AX989" t="s">
        <v>74</v>
      </c>
      <c r="AY989" t="s">
        <v>74</v>
      </c>
      <c r="AZ989" t="s">
        <v>74</v>
      </c>
      <c r="BA989" t="s">
        <v>74</v>
      </c>
      <c r="BB989">
        <v>391</v>
      </c>
      <c r="BC989" t="s">
        <v>5541</v>
      </c>
      <c r="BD989" t="s">
        <v>74</v>
      </c>
      <c r="BE989" t="s">
        <v>15161</v>
      </c>
      <c r="BF989" t="str">
        <f>HYPERLINK("http://dx.doi.org/10.3189/172756407782871549","http://dx.doi.org/10.3189/172756407782871549")</f>
        <v>http://dx.doi.org/10.3189/172756407782871549</v>
      </c>
      <c r="BG989" t="s">
        <v>74</v>
      </c>
      <c r="BH989" t="s">
        <v>74</v>
      </c>
      <c r="BI989">
        <v>2</v>
      </c>
      <c r="BJ989" t="s">
        <v>195</v>
      </c>
      <c r="BK989" t="s">
        <v>5953</v>
      </c>
      <c r="BL989" t="s">
        <v>196</v>
      </c>
      <c r="BM989" t="s">
        <v>14971</v>
      </c>
      <c r="BN989" t="s">
        <v>74</v>
      </c>
      <c r="BO989" t="s">
        <v>154</v>
      </c>
      <c r="BP989" t="s">
        <v>74</v>
      </c>
      <c r="BQ989" t="s">
        <v>74</v>
      </c>
      <c r="BR989" t="s">
        <v>101</v>
      </c>
      <c r="BS989" t="s">
        <v>15162</v>
      </c>
      <c r="BT989" t="str">
        <f>HYPERLINK("https%3A%2F%2Fwww.webofscience.com%2Fwos%2Fwoscc%2Ffull-record%2FWOS:000250954200057","View Full Record in Web of Science")</f>
        <v>View Full Record in Web of Science</v>
      </c>
    </row>
    <row r="990" spans="1:72" x14ac:dyDescent="0.15">
      <c r="A990" t="s">
        <v>5932</v>
      </c>
      <c r="B990" t="s">
        <v>15163</v>
      </c>
      <c r="C990" t="s">
        <v>74</v>
      </c>
      <c r="D990" t="s">
        <v>14954</v>
      </c>
      <c r="E990" t="s">
        <v>74</v>
      </c>
      <c r="F990" t="s">
        <v>15164</v>
      </c>
      <c r="G990" t="s">
        <v>74</v>
      </c>
      <c r="H990" t="s">
        <v>74</v>
      </c>
      <c r="I990" t="s">
        <v>15165</v>
      </c>
      <c r="J990" t="s">
        <v>14957</v>
      </c>
      <c r="K990" t="s">
        <v>14932</v>
      </c>
      <c r="L990" t="s">
        <v>74</v>
      </c>
      <c r="M990" t="s">
        <v>78</v>
      </c>
      <c r="N990" t="s">
        <v>5938</v>
      </c>
      <c r="O990" t="s">
        <v>14958</v>
      </c>
      <c r="P990" t="s">
        <v>14959</v>
      </c>
      <c r="Q990" t="s">
        <v>14960</v>
      </c>
      <c r="R990" t="s">
        <v>74</v>
      </c>
      <c r="S990" t="s">
        <v>74</v>
      </c>
      <c r="T990" t="s">
        <v>74</v>
      </c>
      <c r="U990" t="s">
        <v>15166</v>
      </c>
      <c r="V990" t="s">
        <v>15167</v>
      </c>
      <c r="W990" t="s">
        <v>15168</v>
      </c>
      <c r="X990" t="s">
        <v>15169</v>
      </c>
      <c r="Y990" t="s">
        <v>15170</v>
      </c>
      <c r="Z990" t="s">
        <v>15171</v>
      </c>
      <c r="AA990" t="s">
        <v>74</v>
      </c>
      <c r="AB990" t="s">
        <v>15172</v>
      </c>
      <c r="AC990" t="s">
        <v>15173</v>
      </c>
      <c r="AD990" t="s">
        <v>15173</v>
      </c>
      <c r="AE990" t="s">
        <v>15174</v>
      </c>
      <c r="AF990" t="s">
        <v>74</v>
      </c>
      <c r="AG990">
        <v>31</v>
      </c>
      <c r="AH990">
        <v>5</v>
      </c>
      <c r="AI990">
        <v>8</v>
      </c>
      <c r="AJ990">
        <v>0</v>
      </c>
      <c r="AK990">
        <v>2</v>
      </c>
      <c r="AL990" t="s">
        <v>14944</v>
      </c>
      <c r="AM990" t="s">
        <v>788</v>
      </c>
      <c r="AN990" t="s">
        <v>14945</v>
      </c>
      <c r="AO990" t="s">
        <v>14946</v>
      </c>
      <c r="AP990" t="s">
        <v>74</v>
      </c>
      <c r="AQ990" t="s">
        <v>14969</v>
      </c>
      <c r="AR990" t="s">
        <v>14948</v>
      </c>
      <c r="AS990" t="s">
        <v>74</v>
      </c>
      <c r="AT990" t="s">
        <v>74</v>
      </c>
      <c r="AU990">
        <v>2007</v>
      </c>
      <c r="AV990">
        <v>46</v>
      </c>
      <c r="AW990" t="s">
        <v>74</v>
      </c>
      <c r="AX990" t="s">
        <v>74</v>
      </c>
      <c r="AY990" t="s">
        <v>74</v>
      </c>
      <c r="AZ990" t="s">
        <v>74</v>
      </c>
      <c r="BA990" t="s">
        <v>74</v>
      </c>
      <c r="BB990">
        <v>419</v>
      </c>
      <c r="BC990" t="s">
        <v>5541</v>
      </c>
      <c r="BD990" t="s">
        <v>74</v>
      </c>
      <c r="BE990" t="s">
        <v>15175</v>
      </c>
      <c r="BF990" t="str">
        <f>HYPERLINK("http://dx.doi.org/10.3189/172756407782871350","http://dx.doi.org/10.3189/172756407782871350")</f>
        <v>http://dx.doi.org/10.3189/172756407782871350</v>
      </c>
      <c r="BG990" t="s">
        <v>74</v>
      </c>
      <c r="BH990" t="s">
        <v>74</v>
      </c>
      <c r="BI990">
        <v>2</v>
      </c>
      <c r="BJ990" t="s">
        <v>195</v>
      </c>
      <c r="BK990" t="s">
        <v>5953</v>
      </c>
      <c r="BL990" t="s">
        <v>196</v>
      </c>
      <c r="BM990" t="s">
        <v>14971</v>
      </c>
      <c r="BN990" t="s">
        <v>74</v>
      </c>
      <c r="BO990" t="s">
        <v>154</v>
      </c>
      <c r="BP990" t="s">
        <v>74</v>
      </c>
      <c r="BQ990" t="s">
        <v>74</v>
      </c>
      <c r="BR990" t="s">
        <v>101</v>
      </c>
      <c r="BS990" t="s">
        <v>15176</v>
      </c>
      <c r="BT990" t="str">
        <f>HYPERLINK("https%3A%2F%2Fwww.webofscience.com%2Fwos%2Fwoscc%2Ffull-record%2FWOS:000250954200061","View Full Record in Web of Science")</f>
        <v>View Full Record in Web of Science</v>
      </c>
    </row>
    <row r="991" spans="1:72" x14ac:dyDescent="0.15">
      <c r="A991" t="s">
        <v>5932</v>
      </c>
      <c r="B991" t="s">
        <v>15177</v>
      </c>
      <c r="C991" t="s">
        <v>74</v>
      </c>
      <c r="D991" t="s">
        <v>15178</v>
      </c>
      <c r="E991" t="s">
        <v>74</v>
      </c>
      <c r="F991" t="s">
        <v>15179</v>
      </c>
      <c r="G991" t="s">
        <v>74</v>
      </c>
      <c r="H991" t="s">
        <v>74</v>
      </c>
      <c r="I991" t="s">
        <v>15180</v>
      </c>
      <c r="J991" t="s">
        <v>15181</v>
      </c>
      <c r="K991" t="s">
        <v>15182</v>
      </c>
      <c r="L991" t="s">
        <v>74</v>
      </c>
      <c r="M991" t="s">
        <v>78</v>
      </c>
      <c r="N991" t="s">
        <v>5938</v>
      </c>
      <c r="O991" t="s">
        <v>15183</v>
      </c>
      <c r="P991" t="s">
        <v>15184</v>
      </c>
      <c r="Q991" t="s">
        <v>15185</v>
      </c>
      <c r="R991" t="s">
        <v>74</v>
      </c>
      <c r="S991" t="s">
        <v>74</v>
      </c>
      <c r="T991" t="s">
        <v>74</v>
      </c>
      <c r="U991" t="s">
        <v>15186</v>
      </c>
      <c r="V991" t="s">
        <v>15187</v>
      </c>
      <c r="W991" t="s">
        <v>15188</v>
      </c>
      <c r="X991" t="s">
        <v>5944</v>
      </c>
      <c r="Y991" t="s">
        <v>15189</v>
      </c>
      <c r="Z991" t="s">
        <v>15190</v>
      </c>
      <c r="AA991" t="s">
        <v>74</v>
      </c>
      <c r="AB991" t="s">
        <v>74</v>
      </c>
      <c r="AC991" t="s">
        <v>74</v>
      </c>
      <c r="AD991" t="s">
        <v>74</v>
      </c>
      <c r="AE991" t="s">
        <v>74</v>
      </c>
      <c r="AF991" t="s">
        <v>74</v>
      </c>
      <c r="AG991">
        <v>73</v>
      </c>
      <c r="AH991">
        <v>27</v>
      </c>
      <c r="AI991">
        <v>31</v>
      </c>
      <c r="AJ991">
        <v>1</v>
      </c>
      <c r="AK991">
        <v>14</v>
      </c>
      <c r="AL991" t="s">
        <v>14944</v>
      </c>
      <c r="AM991" t="s">
        <v>788</v>
      </c>
      <c r="AN991" t="s">
        <v>14945</v>
      </c>
      <c r="AO991" t="s">
        <v>14946</v>
      </c>
      <c r="AP991" t="s">
        <v>74</v>
      </c>
      <c r="AQ991" t="s">
        <v>74</v>
      </c>
      <c r="AR991" t="s">
        <v>15191</v>
      </c>
      <c r="AS991" t="s">
        <v>74</v>
      </c>
      <c r="AT991" t="s">
        <v>74</v>
      </c>
      <c r="AU991">
        <v>2007</v>
      </c>
      <c r="AV991">
        <v>47</v>
      </c>
      <c r="AW991" t="s">
        <v>74</v>
      </c>
      <c r="AX991" t="s">
        <v>74</v>
      </c>
      <c r="AY991" t="s">
        <v>74</v>
      </c>
      <c r="AZ991" t="s">
        <v>74</v>
      </c>
      <c r="BA991" t="s">
        <v>74</v>
      </c>
      <c r="BB991">
        <v>1</v>
      </c>
      <c r="BC991">
        <v>9</v>
      </c>
      <c r="BD991" t="s">
        <v>74</v>
      </c>
      <c r="BE991" t="s">
        <v>15192</v>
      </c>
      <c r="BF991" t="str">
        <f>HYPERLINK("http://dx.doi.org/10.3189/172756407786857695","http://dx.doi.org/10.3189/172756407786857695")</f>
        <v>http://dx.doi.org/10.3189/172756407786857695</v>
      </c>
      <c r="BG991" t="s">
        <v>74</v>
      </c>
      <c r="BH991" t="s">
        <v>74</v>
      </c>
      <c r="BI991">
        <v>9</v>
      </c>
      <c r="BJ991" t="s">
        <v>15193</v>
      </c>
      <c r="BK991" t="s">
        <v>5953</v>
      </c>
      <c r="BL991" t="s">
        <v>15194</v>
      </c>
      <c r="BM991" t="s">
        <v>15195</v>
      </c>
      <c r="BN991" t="s">
        <v>74</v>
      </c>
      <c r="BO991" t="s">
        <v>154</v>
      </c>
      <c r="BP991" t="s">
        <v>74</v>
      </c>
      <c r="BQ991" t="s">
        <v>74</v>
      </c>
      <c r="BR991" t="s">
        <v>101</v>
      </c>
      <c r="BS991" t="s">
        <v>15196</v>
      </c>
      <c r="BT991" t="str">
        <f>HYPERLINK("https%3A%2F%2Fwww.webofscience.com%2Fwos%2Fwoscc%2Ffull-record%2FWOS:000263999200001","View Full Record in Web of Science")</f>
        <v>View Full Record in Web of Science</v>
      </c>
    </row>
    <row r="992" spans="1:72" x14ac:dyDescent="0.15">
      <c r="A992" t="s">
        <v>5932</v>
      </c>
      <c r="B992" t="s">
        <v>15197</v>
      </c>
      <c r="C992" t="s">
        <v>74</v>
      </c>
      <c r="D992" t="s">
        <v>15178</v>
      </c>
      <c r="E992" t="s">
        <v>74</v>
      </c>
      <c r="F992" t="s">
        <v>15198</v>
      </c>
      <c r="G992" t="s">
        <v>74</v>
      </c>
      <c r="H992" t="s">
        <v>74</v>
      </c>
      <c r="I992" t="s">
        <v>15199</v>
      </c>
      <c r="J992" t="s">
        <v>15181</v>
      </c>
      <c r="K992" t="s">
        <v>14932</v>
      </c>
      <c r="L992" t="s">
        <v>74</v>
      </c>
      <c r="M992" t="s">
        <v>78</v>
      </c>
      <c r="N992" t="s">
        <v>5938</v>
      </c>
      <c r="O992" t="s">
        <v>15183</v>
      </c>
      <c r="P992" t="s">
        <v>15184</v>
      </c>
      <c r="Q992" t="s">
        <v>15185</v>
      </c>
      <c r="R992" t="s">
        <v>74</v>
      </c>
      <c r="S992" t="s">
        <v>74</v>
      </c>
      <c r="T992" t="s">
        <v>74</v>
      </c>
      <c r="U992" t="s">
        <v>74</v>
      </c>
      <c r="V992" t="s">
        <v>15200</v>
      </c>
      <c r="W992" t="s">
        <v>15201</v>
      </c>
      <c r="X992" t="s">
        <v>15202</v>
      </c>
      <c r="Y992" t="s">
        <v>15203</v>
      </c>
      <c r="Z992" t="s">
        <v>15204</v>
      </c>
      <c r="AA992" t="s">
        <v>15205</v>
      </c>
      <c r="AB992" t="s">
        <v>15206</v>
      </c>
      <c r="AC992" t="s">
        <v>74</v>
      </c>
      <c r="AD992" t="s">
        <v>74</v>
      </c>
      <c r="AE992" t="s">
        <v>74</v>
      </c>
      <c r="AF992" t="s">
        <v>74</v>
      </c>
      <c r="AG992">
        <v>35</v>
      </c>
      <c r="AH992">
        <v>34</v>
      </c>
      <c r="AI992">
        <v>37</v>
      </c>
      <c r="AJ992">
        <v>0</v>
      </c>
      <c r="AK992">
        <v>20</v>
      </c>
      <c r="AL992" t="s">
        <v>14944</v>
      </c>
      <c r="AM992" t="s">
        <v>788</v>
      </c>
      <c r="AN992" t="s">
        <v>14945</v>
      </c>
      <c r="AO992" t="s">
        <v>14946</v>
      </c>
      <c r="AP992" t="s">
        <v>74</v>
      </c>
      <c r="AQ992" t="s">
        <v>74</v>
      </c>
      <c r="AR992" t="s">
        <v>14948</v>
      </c>
      <c r="AS992" t="s">
        <v>74</v>
      </c>
      <c r="AT992" t="s">
        <v>74</v>
      </c>
      <c r="AU992">
        <v>2007</v>
      </c>
      <c r="AV992">
        <v>47</v>
      </c>
      <c r="AW992" t="s">
        <v>74</v>
      </c>
      <c r="AX992" t="s">
        <v>74</v>
      </c>
      <c r="AY992" t="s">
        <v>74</v>
      </c>
      <c r="AZ992" t="s">
        <v>74</v>
      </c>
      <c r="BA992" t="s">
        <v>74</v>
      </c>
      <c r="BB992">
        <v>10</v>
      </c>
      <c r="BC992" t="s">
        <v>5541</v>
      </c>
      <c r="BD992" t="s">
        <v>74</v>
      </c>
      <c r="BE992" t="s">
        <v>15207</v>
      </c>
      <c r="BF992" t="str">
        <f>HYPERLINK("http://dx.doi.org/10.3189/172756407786857776","http://dx.doi.org/10.3189/172756407786857776")</f>
        <v>http://dx.doi.org/10.3189/172756407786857776</v>
      </c>
      <c r="BG992" t="s">
        <v>74</v>
      </c>
      <c r="BH992" t="s">
        <v>74</v>
      </c>
      <c r="BI992">
        <v>3</v>
      </c>
      <c r="BJ992" t="s">
        <v>15193</v>
      </c>
      <c r="BK992" t="s">
        <v>5953</v>
      </c>
      <c r="BL992" t="s">
        <v>15194</v>
      </c>
      <c r="BM992" t="s">
        <v>15195</v>
      </c>
      <c r="BN992" t="s">
        <v>74</v>
      </c>
      <c r="BO992" t="s">
        <v>154</v>
      </c>
      <c r="BP992" t="s">
        <v>74</v>
      </c>
      <c r="BQ992" t="s">
        <v>74</v>
      </c>
      <c r="BR992" t="s">
        <v>101</v>
      </c>
      <c r="BS992" t="s">
        <v>15208</v>
      </c>
      <c r="BT992" t="str">
        <f>HYPERLINK("https%3A%2F%2Fwww.webofscience.com%2Fwos%2Fwoscc%2Ffull-record%2FWOS:000263999200002","View Full Record in Web of Science")</f>
        <v>View Full Record in Web of Science</v>
      </c>
    </row>
    <row r="993" spans="1:72" x14ac:dyDescent="0.15">
      <c r="A993" t="s">
        <v>5932</v>
      </c>
      <c r="B993" t="s">
        <v>15209</v>
      </c>
      <c r="C993" t="s">
        <v>74</v>
      </c>
      <c r="D993" t="s">
        <v>15178</v>
      </c>
      <c r="E993" t="s">
        <v>74</v>
      </c>
      <c r="F993" t="s">
        <v>15210</v>
      </c>
      <c r="G993" t="s">
        <v>74</v>
      </c>
      <c r="H993" t="s">
        <v>74</v>
      </c>
      <c r="I993" t="s">
        <v>15211</v>
      </c>
      <c r="J993" t="s">
        <v>15181</v>
      </c>
      <c r="K993" t="s">
        <v>15182</v>
      </c>
      <c r="L993" t="s">
        <v>74</v>
      </c>
      <c r="M993" t="s">
        <v>78</v>
      </c>
      <c r="N993" t="s">
        <v>5938</v>
      </c>
      <c r="O993" t="s">
        <v>15183</v>
      </c>
      <c r="P993" t="s">
        <v>15184</v>
      </c>
      <c r="Q993" t="s">
        <v>15185</v>
      </c>
      <c r="R993" t="s">
        <v>74</v>
      </c>
      <c r="S993" t="s">
        <v>74</v>
      </c>
      <c r="T993" t="s">
        <v>74</v>
      </c>
      <c r="U993" t="s">
        <v>74</v>
      </c>
      <c r="V993" t="s">
        <v>15212</v>
      </c>
      <c r="W993" t="s">
        <v>15213</v>
      </c>
      <c r="X993" t="s">
        <v>5944</v>
      </c>
      <c r="Y993" t="s">
        <v>15214</v>
      </c>
      <c r="Z993" t="s">
        <v>15215</v>
      </c>
      <c r="AA993" t="s">
        <v>74</v>
      </c>
      <c r="AB993" t="s">
        <v>74</v>
      </c>
      <c r="AC993" t="s">
        <v>74</v>
      </c>
      <c r="AD993" t="s">
        <v>74</v>
      </c>
      <c r="AE993" t="s">
        <v>74</v>
      </c>
      <c r="AF993" t="s">
        <v>74</v>
      </c>
      <c r="AG993">
        <v>8</v>
      </c>
      <c r="AH993">
        <v>17</v>
      </c>
      <c r="AI993">
        <v>20</v>
      </c>
      <c r="AJ993">
        <v>0</v>
      </c>
      <c r="AK993">
        <v>6</v>
      </c>
      <c r="AL993" t="s">
        <v>14944</v>
      </c>
      <c r="AM993" t="s">
        <v>788</v>
      </c>
      <c r="AN993" t="s">
        <v>14945</v>
      </c>
      <c r="AO993" t="s">
        <v>14946</v>
      </c>
      <c r="AP993" t="s">
        <v>74</v>
      </c>
      <c r="AQ993" t="s">
        <v>74</v>
      </c>
      <c r="AR993" t="s">
        <v>15191</v>
      </c>
      <c r="AS993" t="s">
        <v>74</v>
      </c>
      <c r="AT993" t="s">
        <v>74</v>
      </c>
      <c r="AU993">
        <v>2007</v>
      </c>
      <c r="AV993">
        <v>47</v>
      </c>
      <c r="AW993" t="s">
        <v>74</v>
      </c>
      <c r="AX993" t="s">
        <v>74</v>
      </c>
      <c r="AY993" t="s">
        <v>74</v>
      </c>
      <c r="AZ993" t="s">
        <v>74</v>
      </c>
      <c r="BA993" t="s">
        <v>74</v>
      </c>
      <c r="BB993">
        <v>28</v>
      </c>
      <c r="BC993">
        <v>34</v>
      </c>
      <c r="BD993" t="s">
        <v>74</v>
      </c>
      <c r="BE993" t="s">
        <v>15216</v>
      </c>
      <c r="BF993" t="str">
        <f>HYPERLINK("http://dx.doi.org/10.3189/172756407786857811","http://dx.doi.org/10.3189/172756407786857811")</f>
        <v>http://dx.doi.org/10.3189/172756407786857811</v>
      </c>
      <c r="BG993" t="s">
        <v>74</v>
      </c>
      <c r="BH993" t="s">
        <v>74</v>
      </c>
      <c r="BI993">
        <v>7</v>
      </c>
      <c r="BJ993" t="s">
        <v>15193</v>
      </c>
      <c r="BK993" t="s">
        <v>5953</v>
      </c>
      <c r="BL993" t="s">
        <v>15194</v>
      </c>
      <c r="BM993" t="s">
        <v>15195</v>
      </c>
      <c r="BN993" t="s">
        <v>74</v>
      </c>
      <c r="BO993" t="s">
        <v>154</v>
      </c>
      <c r="BP993" t="s">
        <v>74</v>
      </c>
      <c r="BQ993" t="s">
        <v>74</v>
      </c>
      <c r="BR993" t="s">
        <v>101</v>
      </c>
      <c r="BS993" t="s">
        <v>15217</v>
      </c>
      <c r="BT993" t="str">
        <f>HYPERLINK("https%3A%2F%2Fwww.webofscience.com%2Fwos%2Fwoscc%2Ffull-record%2FWOS:000263999200004","View Full Record in Web of Science")</f>
        <v>View Full Record in Web of Science</v>
      </c>
    </row>
    <row r="994" spans="1:72" x14ac:dyDescent="0.15">
      <c r="A994" t="s">
        <v>5932</v>
      </c>
      <c r="B994" t="s">
        <v>15218</v>
      </c>
      <c r="C994" t="s">
        <v>74</v>
      </c>
      <c r="D994" t="s">
        <v>15178</v>
      </c>
      <c r="E994" t="s">
        <v>74</v>
      </c>
      <c r="F994" t="s">
        <v>15219</v>
      </c>
      <c r="G994" t="s">
        <v>74</v>
      </c>
      <c r="H994" t="s">
        <v>74</v>
      </c>
      <c r="I994" t="s">
        <v>15220</v>
      </c>
      <c r="J994" t="s">
        <v>15181</v>
      </c>
      <c r="K994" t="s">
        <v>14932</v>
      </c>
      <c r="L994" t="s">
        <v>74</v>
      </c>
      <c r="M994" t="s">
        <v>78</v>
      </c>
      <c r="N994" t="s">
        <v>5938</v>
      </c>
      <c r="O994" t="s">
        <v>15183</v>
      </c>
      <c r="P994" t="s">
        <v>15184</v>
      </c>
      <c r="Q994" t="s">
        <v>15185</v>
      </c>
      <c r="R994" t="s">
        <v>74</v>
      </c>
      <c r="S994" t="s">
        <v>74</v>
      </c>
      <c r="T994" t="s">
        <v>74</v>
      </c>
      <c r="U994" t="s">
        <v>74</v>
      </c>
      <c r="V994" t="s">
        <v>15221</v>
      </c>
      <c r="W994" t="s">
        <v>15222</v>
      </c>
      <c r="X994" t="s">
        <v>15223</v>
      </c>
      <c r="Y994" t="s">
        <v>15224</v>
      </c>
      <c r="Z994" t="s">
        <v>15225</v>
      </c>
      <c r="AA994" t="s">
        <v>15226</v>
      </c>
      <c r="AB994" t="s">
        <v>15227</v>
      </c>
      <c r="AC994" t="s">
        <v>15228</v>
      </c>
      <c r="AD994" t="s">
        <v>15229</v>
      </c>
      <c r="AE994" t="s">
        <v>15230</v>
      </c>
      <c r="AF994" t="s">
        <v>74</v>
      </c>
      <c r="AG994">
        <v>15</v>
      </c>
      <c r="AH994">
        <v>20</v>
      </c>
      <c r="AI994">
        <v>23</v>
      </c>
      <c r="AJ994">
        <v>1</v>
      </c>
      <c r="AK994">
        <v>13</v>
      </c>
      <c r="AL994" t="s">
        <v>14944</v>
      </c>
      <c r="AM994" t="s">
        <v>788</v>
      </c>
      <c r="AN994" t="s">
        <v>14945</v>
      </c>
      <c r="AO994" t="s">
        <v>14946</v>
      </c>
      <c r="AP994" t="s">
        <v>74</v>
      </c>
      <c r="AQ994" t="s">
        <v>74</v>
      </c>
      <c r="AR994" t="s">
        <v>14948</v>
      </c>
      <c r="AS994" t="s">
        <v>74</v>
      </c>
      <c r="AT994" t="s">
        <v>74</v>
      </c>
      <c r="AU994">
        <v>2007</v>
      </c>
      <c r="AV994">
        <v>47</v>
      </c>
      <c r="AW994" t="s">
        <v>74</v>
      </c>
      <c r="AX994" t="s">
        <v>74</v>
      </c>
      <c r="AY994" t="s">
        <v>74</v>
      </c>
      <c r="AZ994" t="s">
        <v>74</v>
      </c>
      <c r="BA994" t="s">
        <v>74</v>
      </c>
      <c r="BB994">
        <v>73</v>
      </c>
      <c r="BC994" t="s">
        <v>5541</v>
      </c>
      <c r="BD994" t="s">
        <v>74</v>
      </c>
      <c r="BE994" t="s">
        <v>15231</v>
      </c>
      <c r="BF994" t="str">
        <f>HYPERLINK("http://dx.doi.org/10.3189/172756407786857820","http://dx.doi.org/10.3189/172756407786857820")</f>
        <v>http://dx.doi.org/10.3189/172756407786857820</v>
      </c>
      <c r="BG994" t="s">
        <v>74</v>
      </c>
      <c r="BH994" t="s">
        <v>74</v>
      </c>
      <c r="BI994">
        <v>2</v>
      </c>
      <c r="BJ994" t="s">
        <v>15193</v>
      </c>
      <c r="BK994" t="s">
        <v>5953</v>
      </c>
      <c r="BL994" t="s">
        <v>15194</v>
      </c>
      <c r="BM994" t="s">
        <v>15195</v>
      </c>
      <c r="BN994" t="s">
        <v>74</v>
      </c>
      <c r="BO994" t="s">
        <v>797</v>
      </c>
      <c r="BP994" t="s">
        <v>74</v>
      </c>
      <c r="BQ994" t="s">
        <v>74</v>
      </c>
      <c r="BR994" t="s">
        <v>101</v>
      </c>
      <c r="BS994" t="s">
        <v>15232</v>
      </c>
      <c r="BT994" t="str">
        <f>HYPERLINK("https%3A%2F%2Fwww.webofscience.com%2Fwos%2Fwoscc%2Ffull-record%2FWOS:000263999200011","View Full Record in Web of Science")</f>
        <v>View Full Record in Web of Science</v>
      </c>
    </row>
    <row r="995" spans="1:72" x14ac:dyDescent="0.15">
      <c r="A995" t="s">
        <v>5932</v>
      </c>
      <c r="B995" t="s">
        <v>15233</v>
      </c>
      <c r="C995" t="s">
        <v>74</v>
      </c>
      <c r="D995" t="s">
        <v>15178</v>
      </c>
      <c r="E995" t="s">
        <v>74</v>
      </c>
      <c r="F995" t="s">
        <v>15234</v>
      </c>
      <c r="G995" t="s">
        <v>74</v>
      </c>
      <c r="H995" t="s">
        <v>74</v>
      </c>
      <c r="I995" t="s">
        <v>15235</v>
      </c>
      <c r="J995" t="s">
        <v>15181</v>
      </c>
      <c r="K995" t="s">
        <v>14932</v>
      </c>
      <c r="L995" t="s">
        <v>74</v>
      </c>
      <c r="M995" t="s">
        <v>78</v>
      </c>
      <c r="N995" t="s">
        <v>5938</v>
      </c>
      <c r="O995" t="s">
        <v>15183</v>
      </c>
      <c r="P995" t="s">
        <v>15184</v>
      </c>
      <c r="Q995" t="s">
        <v>15185</v>
      </c>
      <c r="R995" t="s">
        <v>74</v>
      </c>
      <c r="S995" t="s">
        <v>74</v>
      </c>
      <c r="T995" t="s">
        <v>74</v>
      </c>
      <c r="U995" t="s">
        <v>15236</v>
      </c>
      <c r="V995" t="s">
        <v>15237</v>
      </c>
      <c r="W995" t="s">
        <v>15238</v>
      </c>
      <c r="X995" t="s">
        <v>15239</v>
      </c>
      <c r="Y995" t="s">
        <v>15240</v>
      </c>
      <c r="Z995" t="s">
        <v>15241</v>
      </c>
      <c r="AA995" t="s">
        <v>15242</v>
      </c>
      <c r="AB995" t="s">
        <v>15243</v>
      </c>
      <c r="AC995" t="s">
        <v>15244</v>
      </c>
      <c r="AD995" t="s">
        <v>15244</v>
      </c>
      <c r="AE995" t="s">
        <v>15245</v>
      </c>
      <c r="AF995" t="s">
        <v>74</v>
      </c>
      <c r="AG995">
        <v>23</v>
      </c>
      <c r="AH995">
        <v>31</v>
      </c>
      <c r="AI995">
        <v>37</v>
      </c>
      <c r="AJ995">
        <v>0</v>
      </c>
      <c r="AK995">
        <v>13</v>
      </c>
      <c r="AL995" t="s">
        <v>14944</v>
      </c>
      <c r="AM995" t="s">
        <v>788</v>
      </c>
      <c r="AN995" t="s">
        <v>14945</v>
      </c>
      <c r="AO995" t="s">
        <v>14946</v>
      </c>
      <c r="AP995" t="s">
        <v>74</v>
      </c>
      <c r="AQ995" t="s">
        <v>74</v>
      </c>
      <c r="AR995" t="s">
        <v>14948</v>
      </c>
      <c r="AS995" t="s">
        <v>74</v>
      </c>
      <c r="AT995" t="s">
        <v>74</v>
      </c>
      <c r="AU995">
        <v>2007</v>
      </c>
      <c r="AV995">
        <v>47</v>
      </c>
      <c r="AW995" t="s">
        <v>74</v>
      </c>
      <c r="AX995" t="s">
        <v>74</v>
      </c>
      <c r="AY995" t="s">
        <v>74</v>
      </c>
      <c r="AZ995" t="s">
        <v>74</v>
      </c>
      <c r="BA995" t="s">
        <v>74</v>
      </c>
      <c r="BB995">
        <v>115</v>
      </c>
      <c r="BC995" t="s">
        <v>5541</v>
      </c>
      <c r="BD995" t="s">
        <v>74</v>
      </c>
      <c r="BE995" t="s">
        <v>15246</v>
      </c>
      <c r="BF995" t="str">
        <f>HYPERLINK("http://dx.doi.org/10.3189/172756407786857758","http://dx.doi.org/10.3189/172756407786857758")</f>
        <v>http://dx.doi.org/10.3189/172756407786857758</v>
      </c>
      <c r="BG995" t="s">
        <v>74</v>
      </c>
      <c r="BH995" t="s">
        <v>74</v>
      </c>
      <c r="BI995">
        <v>3</v>
      </c>
      <c r="BJ995" t="s">
        <v>15193</v>
      </c>
      <c r="BK995" t="s">
        <v>5953</v>
      </c>
      <c r="BL995" t="s">
        <v>15194</v>
      </c>
      <c r="BM995" t="s">
        <v>15195</v>
      </c>
      <c r="BN995" t="s">
        <v>74</v>
      </c>
      <c r="BO995" t="s">
        <v>1289</v>
      </c>
      <c r="BP995" t="s">
        <v>74</v>
      </c>
      <c r="BQ995" t="s">
        <v>74</v>
      </c>
      <c r="BR995" t="s">
        <v>101</v>
      </c>
      <c r="BS995" t="s">
        <v>15247</v>
      </c>
      <c r="BT995" t="str">
        <f>HYPERLINK("https%3A%2F%2Fwww.webofscience.com%2Fwos%2Fwoscc%2Ffull-record%2FWOS:000263999200019","View Full Record in Web of Science")</f>
        <v>View Full Record in Web of Science</v>
      </c>
    </row>
    <row r="996" spans="1:72" x14ac:dyDescent="0.15">
      <c r="A996" t="s">
        <v>5932</v>
      </c>
      <c r="B996" t="s">
        <v>15248</v>
      </c>
      <c r="C996" t="s">
        <v>74</v>
      </c>
      <c r="D996" t="s">
        <v>15178</v>
      </c>
      <c r="E996" t="s">
        <v>74</v>
      </c>
      <c r="F996" t="s">
        <v>15249</v>
      </c>
      <c r="G996" t="s">
        <v>74</v>
      </c>
      <c r="H996" t="s">
        <v>74</v>
      </c>
      <c r="I996" t="s">
        <v>15250</v>
      </c>
      <c r="J996" t="s">
        <v>15181</v>
      </c>
      <c r="K996" t="s">
        <v>14932</v>
      </c>
      <c r="L996" t="s">
        <v>74</v>
      </c>
      <c r="M996" t="s">
        <v>78</v>
      </c>
      <c r="N996" t="s">
        <v>5938</v>
      </c>
      <c r="O996" t="s">
        <v>15183</v>
      </c>
      <c r="P996" t="s">
        <v>15184</v>
      </c>
      <c r="Q996" t="s">
        <v>15185</v>
      </c>
      <c r="R996" t="s">
        <v>74</v>
      </c>
      <c r="S996" t="s">
        <v>74</v>
      </c>
      <c r="T996" t="s">
        <v>74</v>
      </c>
      <c r="U996" t="s">
        <v>74</v>
      </c>
      <c r="V996" t="s">
        <v>15251</v>
      </c>
      <c r="W996" t="s">
        <v>15252</v>
      </c>
      <c r="X996" t="s">
        <v>15253</v>
      </c>
      <c r="Y996" t="s">
        <v>15254</v>
      </c>
      <c r="Z996" t="s">
        <v>15255</v>
      </c>
      <c r="AA996" t="s">
        <v>74</v>
      </c>
      <c r="AB996" t="s">
        <v>74</v>
      </c>
      <c r="AC996" t="s">
        <v>15256</v>
      </c>
      <c r="AD996" t="s">
        <v>15257</v>
      </c>
      <c r="AE996" t="s">
        <v>15258</v>
      </c>
      <c r="AF996" t="s">
        <v>74</v>
      </c>
      <c r="AG996">
        <v>3</v>
      </c>
      <c r="AH996">
        <v>2</v>
      </c>
      <c r="AI996">
        <v>2</v>
      </c>
      <c r="AJ996">
        <v>0</v>
      </c>
      <c r="AK996">
        <v>4</v>
      </c>
      <c r="AL996" t="s">
        <v>14944</v>
      </c>
      <c r="AM996" t="s">
        <v>788</v>
      </c>
      <c r="AN996" t="s">
        <v>14945</v>
      </c>
      <c r="AO996" t="s">
        <v>14946</v>
      </c>
      <c r="AP996" t="s">
        <v>74</v>
      </c>
      <c r="AQ996" t="s">
        <v>74</v>
      </c>
      <c r="AR996" t="s">
        <v>14948</v>
      </c>
      <c r="AS996" t="s">
        <v>74</v>
      </c>
      <c r="AT996" t="s">
        <v>74</v>
      </c>
      <c r="AU996">
        <v>2007</v>
      </c>
      <c r="AV996">
        <v>47</v>
      </c>
      <c r="AW996" t="s">
        <v>74</v>
      </c>
      <c r="AX996" t="s">
        <v>74</v>
      </c>
      <c r="AY996" t="s">
        <v>74</v>
      </c>
      <c r="AZ996" t="s">
        <v>74</v>
      </c>
      <c r="BA996" t="s">
        <v>74</v>
      </c>
      <c r="BB996">
        <v>134</v>
      </c>
      <c r="BC996" t="s">
        <v>5541</v>
      </c>
      <c r="BD996" t="s">
        <v>74</v>
      </c>
      <c r="BE996" t="s">
        <v>15259</v>
      </c>
      <c r="BF996" t="str">
        <f>HYPERLINK("http://dx.doi.org/10.3189/172756407786857749","http://dx.doi.org/10.3189/172756407786857749")</f>
        <v>http://dx.doi.org/10.3189/172756407786857749</v>
      </c>
      <c r="BG996" t="s">
        <v>74</v>
      </c>
      <c r="BH996" t="s">
        <v>74</v>
      </c>
      <c r="BI996">
        <v>2</v>
      </c>
      <c r="BJ996" t="s">
        <v>15193</v>
      </c>
      <c r="BK996" t="s">
        <v>5953</v>
      </c>
      <c r="BL996" t="s">
        <v>15194</v>
      </c>
      <c r="BM996" t="s">
        <v>15195</v>
      </c>
      <c r="BN996" t="s">
        <v>74</v>
      </c>
      <c r="BO996" t="s">
        <v>1289</v>
      </c>
      <c r="BP996" t="s">
        <v>74</v>
      </c>
      <c r="BQ996" t="s">
        <v>74</v>
      </c>
      <c r="BR996" t="s">
        <v>101</v>
      </c>
      <c r="BS996" t="s">
        <v>15260</v>
      </c>
      <c r="BT996" t="str">
        <f>HYPERLINK("https%3A%2F%2Fwww.webofscience.com%2Fwos%2Fwoscc%2Ffull-record%2FWOS:000263999200021","View Full Record in Web of Science")</f>
        <v>View Full Record in Web of Science</v>
      </c>
    </row>
    <row r="997" spans="1:72" x14ac:dyDescent="0.15">
      <c r="A997" t="s">
        <v>72</v>
      </c>
      <c r="B997" t="s">
        <v>15261</v>
      </c>
      <c r="C997" t="s">
        <v>74</v>
      </c>
      <c r="D997" t="s">
        <v>74</v>
      </c>
      <c r="E997" t="s">
        <v>74</v>
      </c>
      <c r="F997" t="s">
        <v>15262</v>
      </c>
      <c r="G997" t="s">
        <v>74</v>
      </c>
      <c r="H997" t="s">
        <v>74</v>
      </c>
      <c r="I997" t="s">
        <v>15263</v>
      </c>
      <c r="J997" t="s">
        <v>15264</v>
      </c>
      <c r="K997" t="s">
        <v>74</v>
      </c>
      <c r="L997" t="s">
        <v>74</v>
      </c>
      <c r="M997" t="s">
        <v>78</v>
      </c>
      <c r="N997" t="s">
        <v>79</v>
      </c>
      <c r="O997" t="s">
        <v>74</v>
      </c>
      <c r="P997" t="s">
        <v>74</v>
      </c>
      <c r="Q997" t="s">
        <v>74</v>
      </c>
      <c r="R997" t="s">
        <v>74</v>
      </c>
      <c r="S997" t="s">
        <v>74</v>
      </c>
      <c r="T997" t="s">
        <v>15265</v>
      </c>
      <c r="U997" t="s">
        <v>15266</v>
      </c>
      <c r="V997" t="s">
        <v>15267</v>
      </c>
      <c r="W997" t="s">
        <v>15268</v>
      </c>
      <c r="X997" t="s">
        <v>15269</v>
      </c>
      <c r="Y997" t="s">
        <v>15270</v>
      </c>
      <c r="Z997" t="s">
        <v>15271</v>
      </c>
      <c r="AA997" t="s">
        <v>74</v>
      </c>
      <c r="AB997" t="s">
        <v>15272</v>
      </c>
      <c r="AC997" t="s">
        <v>74</v>
      </c>
      <c r="AD997" t="s">
        <v>74</v>
      </c>
      <c r="AE997" t="s">
        <v>74</v>
      </c>
      <c r="AF997" t="s">
        <v>74</v>
      </c>
      <c r="AG997">
        <v>38</v>
      </c>
      <c r="AH997">
        <v>18</v>
      </c>
      <c r="AI997">
        <v>27</v>
      </c>
      <c r="AJ997">
        <v>0</v>
      </c>
      <c r="AK997">
        <v>5</v>
      </c>
      <c r="AL997" t="s">
        <v>15273</v>
      </c>
      <c r="AM997" t="s">
        <v>15274</v>
      </c>
      <c r="AN997" t="s">
        <v>15275</v>
      </c>
      <c r="AO997" t="s">
        <v>15276</v>
      </c>
      <c r="AP997" t="s">
        <v>74</v>
      </c>
      <c r="AQ997" t="s">
        <v>74</v>
      </c>
      <c r="AR997" t="s">
        <v>15277</v>
      </c>
      <c r="AS997" t="s">
        <v>15278</v>
      </c>
      <c r="AT997" t="s">
        <v>74</v>
      </c>
      <c r="AU997">
        <v>2007</v>
      </c>
      <c r="AV997">
        <v>94</v>
      </c>
      <c r="AW997">
        <v>4</v>
      </c>
      <c r="AX997" t="s">
        <v>74</v>
      </c>
      <c r="AY997" t="s">
        <v>74</v>
      </c>
      <c r="AZ997" t="s">
        <v>74</v>
      </c>
      <c r="BA997" t="s">
        <v>74</v>
      </c>
      <c r="BB997">
        <v>821</v>
      </c>
      <c r="BC997">
        <v>849</v>
      </c>
      <c r="BD997" t="s">
        <v>74</v>
      </c>
      <c r="BE997" t="s">
        <v>15279</v>
      </c>
      <c r="BF997" t="str">
        <f>HYPERLINK("http://dx.doi.org/10.3417/0026-6493(2007)94[821:NPPANS]2.0.CO;2","http://dx.doi.org/10.3417/0026-6493(2007)94[821:NPPANS]2.0.CO;2")</f>
        <v>http://dx.doi.org/10.3417/0026-6493(2007)94[821:NPPANS]2.0.CO;2</v>
      </c>
      <c r="BG997" t="s">
        <v>74</v>
      </c>
      <c r="BH997" t="s">
        <v>74</v>
      </c>
      <c r="BI997">
        <v>29</v>
      </c>
      <c r="BJ997" t="s">
        <v>3433</v>
      </c>
      <c r="BK997" t="s">
        <v>98</v>
      </c>
      <c r="BL997" t="s">
        <v>3433</v>
      </c>
      <c r="BM997" t="s">
        <v>15280</v>
      </c>
      <c r="BN997" t="s">
        <v>74</v>
      </c>
      <c r="BO997" t="s">
        <v>74</v>
      </c>
      <c r="BP997" t="s">
        <v>74</v>
      </c>
      <c r="BQ997" t="s">
        <v>74</v>
      </c>
      <c r="BR997" t="s">
        <v>101</v>
      </c>
      <c r="BS997" t="s">
        <v>15281</v>
      </c>
      <c r="BT997" t="str">
        <f>HYPERLINK("https%3A%2F%2Fwww.webofscience.com%2Fwos%2Fwoscc%2Ffull-record%2FWOS:000251754000005","View Full Record in Web of Science")</f>
        <v>View Full Record in Web of Science</v>
      </c>
    </row>
    <row r="998" spans="1:72" x14ac:dyDescent="0.15">
      <c r="A998" t="s">
        <v>72</v>
      </c>
      <c r="B998" t="s">
        <v>15282</v>
      </c>
      <c r="C998" t="s">
        <v>74</v>
      </c>
      <c r="D998" t="s">
        <v>74</v>
      </c>
      <c r="E998" t="s">
        <v>74</v>
      </c>
      <c r="F998" t="s">
        <v>15283</v>
      </c>
      <c r="G998" t="s">
        <v>74</v>
      </c>
      <c r="H998" t="s">
        <v>74</v>
      </c>
      <c r="I998" t="s">
        <v>15284</v>
      </c>
      <c r="J998" t="s">
        <v>15285</v>
      </c>
      <c r="K998" t="s">
        <v>74</v>
      </c>
      <c r="L998" t="s">
        <v>74</v>
      </c>
      <c r="M998" t="s">
        <v>78</v>
      </c>
      <c r="N998" t="s">
        <v>79</v>
      </c>
      <c r="O998" t="s">
        <v>74</v>
      </c>
      <c r="P998" t="s">
        <v>74</v>
      </c>
      <c r="Q998" t="s">
        <v>74</v>
      </c>
      <c r="R998" t="s">
        <v>74</v>
      </c>
      <c r="S998" t="s">
        <v>74</v>
      </c>
      <c r="T998" t="s">
        <v>15286</v>
      </c>
      <c r="U998" t="s">
        <v>15287</v>
      </c>
      <c r="V998" t="s">
        <v>15288</v>
      </c>
      <c r="W998" t="s">
        <v>15289</v>
      </c>
      <c r="X998" t="s">
        <v>15290</v>
      </c>
      <c r="Y998" t="s">
        <v>15291</v>
      </c>
      <c r="Z998" t="s">
        <v>15292</v>
      </c>
      <c r="AA998" t="s">
        <v>15293</v>
      </c>
      <c r="AB998" t="s">
        <v>15294</v>
      </c>
      <c r="AC998" t="s">
        <v>15295</v>
      </c>
      <c r="AD998" t="s">
        <v>15296</v>
      </c>
      <c r="AE998" t="s">
        <v>15297</v>
      </c>
      <c r="AF998" t="s">
        <v>74</v>
      </c>
      <c r="AG998">
        <v>12</v>
      </c>
      <c r="AH998">
        <v>5</v>
      </c>
      <c r="AI998">
        <v>5</v>
      </c>
      <c r="AJ998">
        <v>0</v>
      </c>
      <c r="AK998">
        <v>0</v>
      </c>
      <c r="AL998" t="s">
        <v>15298</v>
      </c>
      <c r="AM998" t="s">
        <v>15299</v>
      </c>
      <c r="AN998" t="s">
        <v>15300</v>
      </c>
      <c r="AO998" t="s">
        <v>15301</v>
      </c>
      <c r="AP998" t="s">
        <v>15302</v>
      </c>
      <c r="AQ998" t="s">
        <v>74</v>
      </c>
      <c r="AR998" t="s">
        <v>15303</v>
      </c>
      <c r="AS998" t="s">
        <v>15304</v>
      </c>
      <c r="AT998" t="s">
        <v>74</v>
      </c>
      <c r="AU998">
        <v>2007</v>
      </c>
      <c r="AV998">
        <v>30</v>
      </c>
      <c r="AW998" t="s">
        <v>74</v>
      </c>
      <c r="AX998" t="s">
        <v>74</v>
      </c>
      <c r="AY998" t="s">
        <v>74</v>
      </c>
      <c r="AZ998" t="s">
        <v>74</v>
      </c>
      <c r="BA998" t="s">
        <v>74</v>
      </c>
      <c r="BB998">
        <v>76</v>
      </c>
      <c r="BC998">
        <v>81</v>
      </c>
      <c r="BD998" t="s">
        <v>74</v>
      </c>
      <c r="BE998" t="s">
        <v>74</v>
      </c>
      <c r="BF998" t="s">
        <v>74</v>
      </c>
      <c r="BG998" t="s">
        <v>74</v>
      </c>
      <c r="BH998" t="s">
        <v>74</v>
      </c>
      <c r="BI998">
        <v>6</v>
      </c>
      <c r="BJ998" t="s">
        <v>15305</v>
      </c>
      <c r="BK998" t="s">
        <v>4083</v>
      </c>
      <c r="BL998" t="s">
        <v>15305</v>
      </c>
      <c r="BM998" t="s">
        <v>15306</v>
      </c>
      <c r="BN998" t="s">
        <v>74</v>
      </c>
      <c r="BO998" t="s">
        <v>74</v>
      </c>
      <c r="BP998" t="s">
        <v>74</v>
      </c>
      <c r="BQ998" t="s">
        <v>74</v>
      </c>
      <c r="BR998" t="s">
        <v>101</v>
      </c>
      <c r="BS998" t="s">
        <v>15307</v>
      </c>
      <c r="BT998" t="str">
        <f>HYPERLINK("https%3A%2F%2Fwww.webofscience.com%2Fwos%2Fwoscc%2Ffull-record%2FWOS:000422103900015","View Full Record in Web of Science")</f>
        <v>View Full Record in Web of Science</v>
      </c>
    </row>
    <row r="999" spans="1:72" x14ac:dyDescent="0.15">
      <c r="A999" t="s">
        <v>72</v>
      </c>
      <c r="B999" t="s">
        <v>15308</v>
      </c>
      <c r="C999" t="s">
        <v>74</v>
      </c>
      <c r="D999" t="s">
        <v>74</v>
      </c>
      <c r="E999" t="s">
        <v>74</v>
      </c>
      <c r="F999" t="s">
        <v>15309</v>
      </c>
      <c r="G999" t="s">
        <v>74</v>
      </c>
      <c r="H999" t="s">
        <v>74</v>
      </c>
      <c r="I999" t="s">
        <v>15310</v>
      </c>
      <c r="J999" t="s">
        <v>15311</v>
      </c>
      <c r="K999" t="s">
        <v>15312</v>
      </c>
      <c r="L999" t="s">
        <v>74</v>
      </c>
      <c r="M999" t="s">
        <v>78</v>
      </c>
      <c r="N999" t="s">
        <v>14588</v>
      </c>
      <c r="O999" t="s">
        <v>74</v>
      </c>
      <c r="P999" t="s">
        <v>74</v>
      </c>
      <c r="Q999" t="s">
        <v>74</v>
      </c>
      <c r="R999" t="s">
        <v>74</v>
      </c>
      <c r="S999" t="s">
        <v>74</v>
      </c>
      <c r="T999" t="s">
        <v>15313</v>
      </c>
      <c r="U999" t="s">
        <v>15314</v>
      </c>
      <c r="V999" t="s">
        <v>15315</v>
      </c>
      <c r="W999" t="s">
        <v>15316</v>
      </c>
      <c r="X999" t="s">
        <v>15154</v>
      </c>
      <c r="Y999" t="s">
        <v>9469</v>
      </c>
      <c r="Z999" t="s">
        <v>9470</v>
      </c>
      <c r="AA999" t="s">
        <v>74</v>
      </c>
      <c r="AB999" t="s">
        <v>74</v>
      </c>
      <c r="AC999" t="s">
        <v>15317</v>
      </c>
      <c r="AD999" t="s">
        <v>11612</v>
      </c>
      <c r="AE999" t="s">
        <v>74</v>
      </c>
      <c r="AF999" t="s">
        <v>74</v>
      </c>
      <c r="AG999">
        <v>157</v>
      </c>
      <c r="AH999">
        <v>96</v>
      </c>
      <c r="AI999">
        <v>118</v>
      </c>
      <c r="AJ999">
        <v>2</v>
      </c>
      <c r="AK999">
        <v>80</v>
      </c>
      <c r="AL999" t="s">
        <v>15318</v>
      </c>
      <c r="AM999" t="s">
        <v>15319</v>
      </c>
      <c r="AN999" t="s">
        <v>15320</v>
      </c>
      <c r="AO999" t="s">
        <v>15321</v>
      </c>
      <c r="AP999" t="s">
        <v>74</v>
      </c>
      <c r="AQ999" t="s">
        <v>74</v>
      </c>
      <c r="AR999" t="s">
        <v>15322</v>
      </c>
      <c r="AS999" t="s">
        <v>15323</v>
      </c>
      <c r="AT999" t="s">
        <v>74</v>
      </c>
      <c r="AU999">
        <v>2007</v>
      </c>
      <c r="AV999">
        <v>35</v>
      </c>
      <c r="AW999" t="s">
        <v>74</v>
      </c>
      <c r="AX999" t="s">
        <v>74</v>
      </c>
      <c r="AY999" t="s">
        <v>74</v>
      </c>
      <c r="AZ999" t="s">
        <v>74</v>
      </c>
      <c r="BA999" t="s">
        <v>74</v>
      </c>
      <c r="BB999">
        <v>241</v>
      </c>
      <c r="BC999">
        <v>272</v>
      </c>
      <c r="BD999" t="s">
        <v>74</v>
      </c>
      <c r="BE999" t="s">
        <v>15324</v>
      </c>
      <c r="BF999" t="str">
        <f>HYPERLINK("http://dx.doi.org/10.1146/annurev.earth.35.081006.131524","http://dx.doi.org/10.1146/annurev.earth.35.081006.131524")</f>
        <v>http://dx.doi.org/10.1146/annurev.earth.35.081006.131524</v>
      </c>
      <c r="BG999" t="s">
        <v>74</v>
      </c>
      <c r="BH999" t="s">
        <v>74</v>
      </c>
      <c r="BI999">
        <v>32</v>
      </c>
      <c r="BJ999" t="s">
        <v>15325</v>
      </c>
      <c r="BK999" t="s">
        <v>14601</v>
      </c>
      <c r="BL999" t="s">
        <v>15326</v>
      </c>
      <c r="BM999" t="s">
        <v>15327</v>
      </c>
      <c r="BN999" t="s">
        <v>74</v>
      </c>
      <c r="BO999" t="s">
        <v>74</v>
      </c>
      <c r="BP999" t="s">
        <v>74</v>
      </c>
      <c r="BQ999" t="s">
        <v>74</v>
      </c>
      <c r="BR999" t="s">
        <v>101</v>
      </c>
      <c r="BS999" t="s">
        <v>15328</v>
      </c>
      <c r="BT999" t="str">
        <f>HYPERLINK("https%3A%2F%2Fwww.webofscience.com%2Fwos%2Fwoscc%2Ffull-record%2FWOS:000247012500009","View Full Record in Web of Science")</f>
        <v>View Full Record in Web of Science</v>
      </c>
    </row>
    <row r="1000" spans="1:72" x14ac:dyDescent="0.15">
      <c r="A1000" t="s">
        <v>72</v>
      </c>
      <c r="B1000" t="s">
        <v>15329</v>
      </c>
      <c r="C1000" t="s">
        <v>74</v>
      </c>
      <c r="D1000" t="s">
        <v>74</v>
      </c>
      <c r="E1000" t="s">
        <v>74</v>
      </c>
      <c r="F1000" t="s">
        <v>15330</v>
      </c>
      <c r="G1000" t="s">
        <v>74</v>
      </c>
      <c r="H1000" t="s">
        <v>74</v>
      </c>
      <c r="I1000" t="s">
        <v>15331</v>
      </c>
      <c r="J1000" t="s">
        <v>15332</v>
      </c>
      <c r="K1000" t="s">
        <v>15333</v>
      </c>
      <c r="L1000" t="s">
        <v>74</v>
      </c>
      <c r="M1000" t="s">
        <v>78</v>
      </c>
      <c r="N1000" t="s">
        <v>14588</v>
      </c>
      <c r="O1000" t="s">
        <v>74</v>
      </c>
      <c r="P1000" t="s">
        <v>74</v>
      </c>
      <c r="Q1000" t="s">
        <v>74</v>
      </c>
      <c r="R1000" t="s">
        <v>74</v>
      </c>
      <c r="S1000" t="s">
        <v>74</v>
      </c>
      <c r="T1000" t="s">
        <v>15334</v>
      </c>
      <c r="U1000" t="s">
        <v>15335</v>
      </c>
      <c r="V1000" t="s">
        <v>15336</v>
      </c>
      <c r="W1000" t="s">
        <v>15337</v>
      </c>
      <c r="X1000" t="s">
        <v>15338</v>
      </c>
      <c r="Y1000" t="s">
        <v>15339</v>
      </c>
      <c r="Z1000" t="s">
        <v>15340</v>
      </c>
      <c r="AA1000" t="s">
        <v>74</v>
      </c>
      <c r="AB1000" t="s">
        <v>15341</v>
      </c>
      <c r="AC1000" t="s">
        <v>1992</v>
      </c>
      <c r="AD1000" t="s">
        <v>140</v>
      </c>
      <c r="AE1000" t="s">
        <v>74</v>
      </c>
      <c r="AF1000" t="s">
        <v>74</v>
      </c>
      <c r="AG1000">
        <v>149</v>
      </c>
      <c r="AH1000">
        <v>213</v>
      </c>
      <c r="AI1000">
        <v>246</v>
      </c>
      <c r="AJ1000">
        <v>4</v>
      </c>
      <c r="AK1000">
        <v>154</v>
      </c>
      <c r="AL1000" t="s">
        <v>15318</v>
      </c>
      <c r="AM1000" t="s">
        <v>15319</v>
      </c>
      <c r="AN1000" t="s">
        <v>15320</v>
      </c>
      <c r="AO1000" t="s">
        <v>15342</v>
      </c>
      <c r="AP1000" t="s">
        <v>15343</v>
      </c>
      <c r="AQ1000" t="s">
        <v>74</v>
      </c>
      <c r="AR1000" t="s">
        <v>15344</v>
      </c>
      <c r="AS1000" t="s">
        <v>15345</v>
      </c>
      <c r="AT1000" t="s">
        <v>74</v>
      </c>
      <c r="AU1000">
        <v>2007</v>
      </c>
      <c r="AV1000">
        <v>38</v>
      </c>
      <c r="AW1000" t="s">
        <v>74</v>
      </c>
      <c r="AX1000" t="s">
        <v>74</v>
      </c>
      <c r="AY1000" t="s">
        <v>74</v>
      </c>
      <c r="AZ1000" t="s">
        <v>74</v>
      </c>
      <c r="BA1000" t="s">
        <v>74</v>
      </c>
      <c r="BB1000">
        <v>129</v>
      </c>
      <c r="BC1000">
        <v>154</v>
      </c>
      <c r="BD1000" t="s">
        <v>74</v>
      </c>
      <c r="BE1000" t="s">
        <v>15346</v>
      </c>
      <c r="BF1000" t="str">
        <f>HYPERLINK("http://dx.doi.org/10.1146/annurev.ecolsys.38.091206.095525","http://dx.doi.org/10.1146/annurev.ecolsys.38.091206.095525")</f>
        <v>http://dx.doi.org/10.1146/annurev.ecolsys.38.091206.095525</v>
      </c>
      <c r="BG1000" t="s">
        <v>74</v>
      </c>
      <c r="BH1000" t="s">
        <v>74</v>
      </c>
      <c r="BI1000">
        <v>26</v>
      </c>
      <c r="BJ1000" t="s">
        <v>14793</v>
      </c>
      <c r="BK1000" t="s">
        <v>14601</v>
      </c>
      <c r="BL1000" t="s">
        <v>14794</v>
      </c>
      <c r="BM1000" t="s">
        <v>15347</v>
      </c>
      <c r="BN1000" t="s">
        <v>74</v>
      </c>
      <c r="BO1000" t="s">
        <v>223</v>
      </c>
      <c r="BP1000" t="s">
        <v>74</v>
      </c>
      <c r="BQ1000" t="s">
        <v>74</v>
      </c>
      <c r="BR1000" t="s">
        <v>101</v>
      </c>
      <c r="BS1000" t="s">
        <v>15348</v>
      </c>
      <c r="BT1000" t="str">
        <f>HYPERLINK("https%3A%2F%2Fwww.webofscience.com%2Fwos%2Fwoscc%2Ffull-record%2FWOS:000252359800006","View Full Record in Web of Science")</f>
        <v>View Full Record in Web of Science</v>
      </c>
    </row>
    <row r="1001" spans="1:72" x14ac:dyDescent="0.15">
      <c r="A1001" t="s">
        <v>72</v>
      </c>
      <c r="B1001" t="s">
        <v>15349</v>
      </c>
      <c r="C1001" t="s">
        <v>74</v>
      </c>
      <c r="D1001" t="s">
        <v>74</v>
      </c>
      <c r="E1001" t="s">
        <v>74</v>
      </c>
      <c r="F1001" t="s">
        <v>15350</v>
      </c>
      <c r="G1001" t="s">
        <v>74</v>
      </c>
      <c r="H1001" t="s">
        <v>74</v>
      </c>
      <c r="I1001" t="s">
        <v>15351</v>
      </c>
      <c r="J1001" t="s">
        <v>15352</v>
      </c>
      <c r="K1001" t="s">
        <v>15353</v>
      </c>
      <c r="L1001" t="s">
        <v>74</v>
      </c>
      <c r="M1001" t="s">
        <v>78</v>
      </c>
      <c r="N1001" t="s">
        <v>14588</v>
      </c>
      <c r="O1001" t="s">
        <v>74</v>
      </c>
      <c r="P1001" t="s">
        <v>74</v>
      </c>
      <c r="Q1001" t="s">
        <v>74</v>
      </c>
      <c r="R1001" t="s">
        <v>74</v>
      </c>
      <c r="S1001" t="s">
        <v>74</v>
      </c>
      <c r="T1001" t="s">
        <v>15354</v>
      </c>
      <c r="U1001" t="s">
        <v>15355</v>
      </c>
      <c r="V1001" t="s">
        <v>15356</v>
      </c>
      <c r="W1001" t="s">
        <v>15357</v>
      </c>
      <c r="X1001" t="s">
        <v>15358</v>
      </c>
      <c r="Y1001" t="s">
        <v>15359</v>
      </c>
      <c r="Z1001" t="s">
        <v>15360</v>
      </c>
      <c r="AA1001" t="s">
        <v>3861</v>
      </c>
      <c r="AB1001" t="s">
        <v>15361</v>
      </c>
      <c r="AC1001" t="s">
        <v>74</v>
      </c>
      <c r="AD1001" t="s">
        <v>74</v>
      </c>
      <c r="AE1001" t="s">
        <v>74</v>
      </c>
      <c r="AF1001" t="s">
        <v>74</v>
      </c>
      <c r="AG1001">
        <v>245</v>
      </c>
      <c r="AH1001">
        <v>77</v>
      </c>
      <c r="AI1001">
        <v>100</v>
      </c>
      <c r="AJ1001">
        <v>4</v>
      </c>
      <c r="AK1001">
        <v>147</v>
      </c>
      <c r="AL1001" t="s">
        <v>15318</v>
      </c>
      <c r="AM1001" t="s">
        <v>15319</v>
      </c>
      <c r="AN1001" t="s">
        <v>15320</v>
      </c>
      <c r="AO1001" t="s">
        <v>15362</v>
      </c>
      <c r="AP1001" t="s">
        <v>74</v>
      </c>
      <c r="AQ1001" t="s">
        <v>74</v>
      </c>
      <c r="AR1001" t="s">
        <v>15363</v>
      </c>
      <c r="AS1001" t="s">
        <v>15364</v>
      </c>
      <c r="AT1001" t="s">
        <v>74</v>
      </c>
      <c r="AU1001">
        <v>2007</v>
      </c>
      <c r="AV1001">
        <v>32</v>
      </c>
      <c r="AW1001" t="s">
        <v>74</v>
      </c>
      <c r="AX1001" t="s">
        <v>74</v>
      </c>
      <c r="AY1001" t="s">
        <v>74</v>
      </c>
      <c r="AZ1001" t="s">
        <v>74</v>
      </c>
      <c r="BA1001" t="s">
        <v>74</v>
      </c>
      <c r="BB1001">
        <v>31</v>
      </c>
      <c r="BC1001">
        <v>66</v>
      </c>
      <c r="BD1001" t="s">
        <v>74</v>
      </c>
      <c r="BE1001" t="s">
        <v>15365</v>
      </c>
      <c r="BF1001" t="str">
        <f>HYPERLINK("http://dx.doi.org/10.1146/annurev.energy.32.041706.124700","http://dx.doi.org/10.1146/annurev.energy.32.041706.124700")</f>
        <v>http://dx.doi.org/10.1146/annurev.energy.32.041706.124700</v>
      </c>
      <c r="BG1001" t="s">
        <v>74</v>
      </c>
      <c r="BH1001" t="s">
        <v>74</v>
      </c>
      <c r="BI1001">
        <v>36</v>
      </c>
      <c r="BJ1001" t="s">
        <v>15366</v>
      </c>
      <c r="BK1001" t="s">
        <v>15367</v>
      </c>
      <c r="BL1001" t="s">
        <v>911</v>
      </c>
      <c r="BM1001" t="s">
        <v>15368</v>
      </c>
      <c r="BN1001" t="s">
        <v>74</v>
      </c>
      <c r="BO1001" t="s">
        <v>1289</v>
      </c>
      <c r="BP1001" t="s">
        <v>74</v>
      </c>
      <c r="BQ1001" t="s">
        <v>74</v>
      </c>
      <c r="BR1001" t="s">
        <v>101</v>
      </c>
      <c r="BS1001" t="s">
        <v>15369</v>
      </c>
      <c r="BT1001" t="str">
        <f>HYPERLINK("https%3A%2F%2Fwww.webofscience.com%2Fwos%2Fwoscc%2Ffull-record%2FWOS:000251280300003","View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2024-07-28T15:26:22Z</dcterms:created>
  <dcterms:modified xsi:type="dcterms:W3CDTF">2024-07-28T15:26:22Z</dcterms:modified>
</cp:coreProperties>
</file>